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05" yWindow="1035" windowWidth="12120" windowHeight="9120" tabRatio="748" activeTab="0"/>
  </bookViews>
  <sheets>
    <sheet name="계산서(75%적용)" sheetId="1" r:id="rId1"/>
    <sheet name="계산서(70%적용)" sheetId="2" r:id="rId2"/>
    <sheet name="계산서(본점제휴법무법인)" sheetId="3" r:id="rId3"/>
    <sheet name="계산서(원클릭모기지(전자등기))" sheetId="4" r:id="rId4"/>
    <sheet name="계산서(아낌e보금자리(전자등기))" sheetId="5" r:id="rId5"/>
    <sheet name="즉시매도(75)" sheetId="6" state="hidden" r:id="rId6"/>
    <sheet name="즉시매도(70)" sheetId="7" state="hidden" r:id="rId7"/>
    <sheet name="즉시매도본점" sheetId="8" state="hidden" r:id="rId8"/>
    <sheet name="즉시매도모기지원" sheetId="9" state="hidden" r:id="rId9"/>
    <sheet name="즉시매도아낌e" sheetId="10" state="hidden" r:id="rId10"/>
  </sheets>
  <definedNames>
    <definedName name="보정0604">#REF!</definedName>
  </definedNames>
  <calcPr fullCalcOnLoad="1"/>
</workbook>
</file>

<file path=xl/sharedStrings.xml><?xml version="1.0" encoding="utf-8"?>
<sst xmlns="http://schemas.openxmlformats.org/spreadsheetml/2006/main" count="380" uniqueCount="137">
  <si>
    <t>소  계(A)</t>
  </si>
  <si>
    <t>ㆍ필지수:</t>
  </si>
  <si>
    <t>소  계(B)</t>
  </si>
  <si>
    <t>소  계(C)</t>
  </si>
  <si>
    <t>ㆍ성     명:</t>
  </si>
  <si>
    <t>ㆍ주민등록번호:</t>
  </si>
  <si>
    <t>ㆍ설정금액:</t>
  </si>
  <si>
    <t>ㆍ주택채권할인일자:</t>
  </si>
  <si>
    <t>ㆍ주택채권매도단가:</t>
  </si>
  <si>
    <t>○ 즉시매도</t>
  </si>
  <si>
    <r>
      <t xml:space="preserve">1) </t>
    </r>
    <r>
      <rPr>
        <sz val="10"/>
        <rFont val="돋움"/>
        <family val="3"/>
      </rPr>
      <t>발행금액</t>
    </r>
  </si>
  <si>
    <r>
      <t xml:space="preserve">2) </t>
    </r>
    <r>
      <rPr>
        <sz val="10"/>
        <rFont val="돋움"/>
        <family val="3"/>
      </rPr>
      <t>선급이자</t>
    </r>
    <r>
      <rPr>
        <sz val="10"/>
        <rFont val="Arial"/>
        <family val="2"/>
      </rPr>
      <t xml:space="preserve"> </t>
    </r>
  </si>
  <si>
    <t>액면</t>
  </si>
  <si>
    <t>표면금리</t>
  </si>
  <si>
    <t>매출일</t>
  </si>
  <si>
    <t>발행일</t>
  </si>
  <si>
    <t>선납이자일수</t>
  </si>
  <si>
    <t>선납이자</t>
  </si>
  <si>
    <t>국고단수</t>
  </si>
  <si>
    <r>
      <t xml:space="preserve">3) </t>
    </r>
    <r>
      <rPr>
        <sz val="10"/>
        <rFont val="돋움"/>
        <family val="3"/>
      </rPr>
      <t>수입제세</t>
    </r>
  </si>
  <si>
    <r>
      <t>이자소득세</t>
    </r>
    <r>
      <rPr>
        <sz val="10"/>
        <rFont val="Arial"/>
        <family val="2"/>
      </rPr>
      <t xml:space="preserve"> </t>
    </r>
  </si>
  <si>
    <t>주민세</t>
  </si>
  <si>
    <r>
      <t>4)</t>
    </r>
    <r>
      <rPr>
        <sz val="10"/>
        <rFont val="돋움"/>
        <family val="3"/>
      </rPr>
      <t>실수납액</t>
    </r>
  </si>
  <si>
    <t>1)발행금액-</t>
  </si>
  <si>
    <t>2)선급이자+</t>
  </si>
  <si>
    <t>3)수입제세</t>
  </si>
  <si>
    <t>-4)채권매도금액</t>
  </si>
  <si>
    <t>+5)매도대행수수료</t>
  </si>
  <si>
    <t>매도단가</t>
  </si>
  <si>
    <t xml:space="preserve">   → (주의) 반드시 yyyy-mm-dd로 입력</t>
  </si>
  <si>
    <t xml:space="preserve">    [제세금]----------------------------------------------</t>
  </si>
  <si>
    <t xml:space="preserve">       a. 등록세</t>
  </si>
  <si>
    <t xml:space="preserve">       b. 교육세</t>
  </si>
  <si>
    <t xml:space="preserve">    [법무수수료(A+B+C)]----------------------------------</t>
  </si>
  <si>
    <t xml:space="preserve">       a. 증지,제증명발급</t>
  </si>
  <si>
    <t xml:space="preserve">       b. 설정자주소경정</t>
  </si>
  <si>
    <t xml:space="preserve">       c. 지배인초본발급</t>
  </si>
  <si>
    <t xml:space="preserve">       d. 기본보수</t>
  </si>
  <si>
    <t xml:space="preserve"> ▩ 근저당설정관련 지급 비용</t>
  </si>
  <si>
    <t>------------------------------------------------------------------</t>
  </si>
  <si>
    <t>ㆍ설정자주소경정:</t>
  </si>
  <si>
    <t>ㆍ지배인초본발급:</t>
  </si>
  <si>
    <t>ㆍ주소경정:</t>
  </si>
  <si>
    <t>■소  계(A)</t>
  </si>
  <si>
    <t>■소  계(B)</t>
  </si>
  <si>
    <t>■소  계(C)</t>
  </si>
  <si>
    <t>(주의) 좌측 상단보다 높은 VERSION이 고시된 경우에 이 양식 사용 불가</t>
  </si>
  <si>
    <r>
      <t xml:space="preserve">  </t>
    </r>
    <r>
      <rPr>
        <b/>
        <sz val="10"/>
        <color indexed="12"/>
        <rFont val="하나 L"/>
        <family val="1"/>
      </rPr>
      <t>[은행부담 합계]</t>
    </r>
    <r>
      <rPr>
        <b/>
        <sz val="10"/>
        <rFont val="하나 L"/>
        <family val="1"/>
      </rPr>
      <t>----------------------------------------</t>
    </r>
  </si>
  <si>
    <r>
      <t xml:space="preserve">  </t>
    </r>
    <r>
      <rPr>
        <b/>
        <sz val="10"/>
        <color indexed="12"/>
        <rFont val="하나 L"/>
        <family val="1"/>
      </rPr>
      <t>[고객부담 국민주택채권할인료]</t>
    </r>
    <r>
      <rPr>
        <b/>
        <sz val="10"/>
        <rFont val="하나 L"/>
        <family val="1"/>
      </rPr>
      <t>----------------------------</t>
    </r>
  </si>
  <si>
    <t xml:space="preserve">   [ I. 고객부담 국민주택채권할인료 ]------------------------</t>
  </si>
  <si>
    <t xml:space="preserve">   [ II. 은행부담 합계]------------------------------------</t>
  </si>
  <si>
    <t xml:space="preserve">       [ II-1. 제세금 ]-----------------------------------------------</t>
  </si>
  <si>
    <t xml:space="preserve">              a. 등록세</t>
  </si>
  <si>
    <t xml:space="preserve">              b. 교육세</t>
  </si>
  <si>
    <t xml:space="preserve">       [ II-2. 법무수수료(A+B+C) ]--------------------------</t>
  </si>
  <si>
    <t xml:space="preserve">              a. 증지,제증명발급 비용</t>
  </si>
  <si>
    <t xml:space="preserve">              b. 설정자주소경정</t>
  </si>
  <si>
    <t xml:space="preserve">              c. 지배인초본발급</t>
  </si>
  <si>
    <t xml:space="preserve">              d. 기본보수</t>
  </si>
  <si>
    <t xml:space="preserve">              e. 누진보수</t>
  </si>
  <si>
    <t xml:space="preserve">              f. 부가가치세     (B×10%)</t>
  </si>
  <si>
    <t>※ 수수료 지급 화면 : 계정단말 4025 → 『담보권설정수수료(1502601)』</t>
  </si>
  <si>
    <t>김하나</t>
  </si>
  <si>
    <t xml:space="preserve"> ▩ 근저당설정관련 지급 비용</t>
  </si>
  <si>
    <t>ㆍ성     명:</t>
  </si>
  <si>
    <t>김하나</t>
  </si>
  <si>
    <t>ㆍ주민등록번호:</t>
  </si>
  <si>
    <t>------------------------------------------------------------------</t>
  </si>
  <si>
    <t>ㆍ설정금액:</t>
  </si>
  <si>
    <t>ㆍ필지수:</t>
  </si>
  <si>
    <t>ㆍ주택채권할인일자:</t>
  </si>
  <si>
    <t>ㆍ설정자주소경정:</t>
  </si>
  <si>
    <t xml:space="preserve">   → (주의) 반드시 yyyy-mm-dd로 입력</t>
  </si>
  <si>
    <t>ㆍ지배인초본발급:</t>
  </si>
  <si>
    <t>ㆍ주택채권매도단가:</t>
  </si>
  <si>
    <r>
      <t xml:space="preserve">  </t>
    </r>
    <r>
      <rPr>
        <b/>
        <sz val="10"/>
        <color indexed="12"/>
        <rFont val="하나 L"/>
        <family val="1"/>
      </rPr>
      <t>[고객부담 국민주택채권할인료]</t>
    </r>
    <r>
      <rPr>
        <b/>
        <sz val="10"/>
        <rFont val="하나 L"/>
        <family val="1"/>
      </rPr>
      <t>----------------------------</t>
    </r>
  </si>
  <si>
    <r>
      <t xml:space="preserve">  </t>
    </r>
    <r>
      <rPr>
        <b/>
        <sz val="10"/>
        <color indexed="12"/>
        <rFont val="하나 L"/>
        <family val="1"/>
      </rPr>
      <t>[은행부담 합계]</t>
    </r>
    <r>
      <rPr>
        <b/>
        <sz val="10"/>
        <rFont val="하나 L"/>
        <family val="1"/>
      </rPr>
      <t>----------------------------------------</t>
    </r>
  </si>
  <si>
    <t xml:space="preserve">    [제세금]----------------------------------------------</t>
  </si>
  <si>
    <t xml:space="preserve">       a. 등록세</t>
  </si>
  <si>
    <t xml:space="preserve">       b. 교육세</t>
  </si>
  <si>
    <t xml:space="preserve">    [법무수수료(A+B+C)]----------------------------------</t>
  </si>
  <si>
    <t xml:space="preserve">       a. 증지,제증명발급</t>
  </si>
  <si>
    <t xml:space="preserve">       b. 설정자주소경정</t>
  </si>
  <si>
    <t xml:space="preserve">       c. 지배인초본발급</t>
  </si>
  <si>
    <t>소  계(A)</t>
  </si>
  <si>
    <t xml:space="preserve">       d. 기본보수</t>
  </si>
  <si>
    <t>소  계(B)</t>
  </si>
  <si>
    <t>소  계(C)</t>
  </si>
  <si>
    <t>ㆍ주소경정:</t>
  </si>
  <si>
    <t xml:space="preserve">   [ I. 고객부담 국민주택채권할인료 ]------------------------</t>
  </si>
  <si>
    <t xml:space="preserve">   [ II. 은행부담 합계]------------------------------------</t>
  </si>
  <si>
    <t xml:space="preserve">       [ II-1. 제세금 ]-----------------------------------------------</t>
  </si>
  <si>
    <t xml:space="preserve">              a. 등록세</t>
  </si>
  <si>
    <t xml:space="preserve">              b. 교육세</t>
  </si>
  <si>
    <t xml:space="preserve">       [ II-2. 법무수수료(A+B+C) ]--------------------------</t>
  </si>
  <si>
    <t xml:space="preserve">              a. 증지,제증명발급 비용</t>
  </si>
  <si>
    <t xml:space="preserve">              b. 설정자주소경정</t>
  </si>
  <si>
    <t xml:space="preserve">              c. 지배인초본발급</t>
  </si>
  <si>
    <t>■소  계(A)</t>
  </si>
  <si>
    <t xml:space="preserve">              d. 기본보수</t>
  </si>
  <si>
    <t xml:space="preserve">              e. 누진보수</t>
  </si>
  <si>
    <t>■소  계(B)</t>
  </si>
  <si>
    <t xml:space="preserve">              f. 부가가치세     (B×10%)</t>
  </si>
  <si>
    <t>■소  계(C)</t>
  </si>
  <si>
    <t>※ 수수료 지급 화면 : 계정단말 4025 → 『담보권설정수수료(1502601)』</t>
  </si>
  <si>
    <t>(주의) 좌측 상단보다 높은 VERSION이 고시된 경우에 이 양식 사용 불가</t>
  </si>
  <si>
    <t>근저당설정비지급 내역표(본점제휴법무법인)</t>
  </si>
  <si>
    <t>근저당설정비지급 내역표(모기지원)</t>
  </si>
  <si>
    <t>○ 즉시매도</t>
  </si>
  <si>
    <r>
      <t xml:space="preserve">1) </t>
    </r>
    <r>
      <rPr>
        <sz val="10"/>
        <rFont val="돋움"/>
        <family val="3"/>
      </rPr>
      <t>발행금액</t>
    </r>
  </si>
  <si>
    <r>
      <t xml:space="preserve">2) </t>
    </r>
    <r>
      <rPr>
        <sz val="10"/>
        <rFont val="돋움"/>
        <family val="3"/>
      </rPr>
      <t>선급이자</t>
    </r>
    <r>
      <rPr>
        <sz val="10"/>
        <rFont val="Arial"/>
        <family val="2"/>
      </rPr>
      <t xml:space="preserve"> </t>
    </r>
  </si>
  <si>
    <t>액면</t>
  </si>
  <si>
    <t>표면금리</t>
  </si>
  <si>
    <t>매출일</t>
  </si>
  <si>
    <t>발행일</t>
  </si>
  <si>
    <t>선납이자일수</t>
  </si>
  <si>
    <t>선납이자</t>
  </si>
  <si>
    <t>국고단수</t>
  </si>
  <si>
    <r>
      <t xml:space="preserve">3) </t>
    </r>
    <r>
      <rPr>
        <sz val="10"/>
        <rFont val="돋움"/>
        <family val="3"/>
      </rPr>
      <t>수입제세</t>
    </r>
  </si>
  <si>
    <r>
      <t>이자소득세</t>
    </r>
    <r>
      <rPr>
        <sz val="10"/>
        <rFont val="Arial"/>
        <family val="2"/>
      </rPr>
      <t xml:space="preserve"> </t>
    </r>
  </si>
  <si>
    <t>주민세</t>
  </si>
  <si>
    <r>
      <t>4)</t>
    </r>
    <r>
      <rPr>
        <sz val="10"/>
        <rFont val="돋움"/>
        <family val="3"/>
      </rPr>
      <t>실수납액</t>
    </r>
  </si>
  <si>
    <t>1)발행금액-</t>
  </si>
  <si>
    <t>2)선급이자+</t>
  </si>
  <si>
    <t>3)수입제세</t>
  </si>
  <si>
    <t>-4)채권매도금액</t>
  </si>
  <si>
    <t>+5)매도대행수수료</t>
  </si>
  <si>
    <t>매도단가</t>
  </si>
  <si>
    <t>(VERSION 5.17 / Last Updated '18.11)</t>
  </si>
  <si>
    <t xml:space="preserve">       e. 부가가치세     (B×10%)</t>
  </si>
  <si>
    <t>(VERSION 5.17 / Last Updated '18.11)</t>
  </si>
  <si>
    <t>(VERSION 5.17 / Last Updated '18.11)</t>
  </si>
  <si>
    <t>(VERSION 5.17 / Last Updated '18.11)</t>
  </si>
  <si>
    <t xml:space="preserve">    → 조회페이지바로가기</t>
  </si>
  <si>
    <t xml:space="preserve">       e. 부가가치세     (B×10%)</t>
  </si>
  <si>
    <t xml:space="preserve">       e. 부가가치세     (B×10%)</t>
  </si>
  <si>
    <t xml:space="preserve">       e. 부가가치세     (B×10%)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</si>
</sst>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[Red]&quot;₩&quot;#,##0"/>
    <numFmt numFmtId="177" formatCode="&quot;₩&quot;#,##0"/>
    <numFmt numFmtId="178" formatCode="#,##0&quot;원&quot;"/>
    <numFmt numFmtId="179" formatCode="\(yyyy/mm/dd\)"/>
    <numFmt numFmtId="180" formatCode="000000\-0000000"/>
    <numFmt numFmtId="181" formatCode="#,##0.0"/>
    <numFmt numFmtId="182" formatCode="#,##0.00_ "/>
    <numFmt numFmtId="183" formatCode="0.0%"/>
    <numFmt numFmtId="184" formatCode="&quot;₩&quot;#,##0.0"/>
    <numFmt numFmtId="185" formatCode="&quot;₩&quot;#,##0.00"/>
    <numFmt numFmtId="186" formatCode="0.000%"/>
    <numFmt numFmtId="187" formatCode="0_ "/>
    <numFmt numFmtId="188" formatCode="0000\-00\-00"/>
    <numFmt numFmtId="189" formatCode="#,##0_ "/>
    <numFmt numFmtId="190" formatCode="_-* #,##0_-;\-* #,##0_-;_-* &quot;-&quot;??_-;_-@_-"/>
    <numFmt numFmtId="191" formatCode="0.0000%"/>
    <numFmt numFmtId="192" formatCode="0.00000%"/>
    <numFmt numFmtId="193" formatCode="#,##0.0_ "/>
    <numFmt numFmtId="194" formatCode="#,##0.0000_ "/>
    <numFmt numFmtId="195" formatCode="_-* #,##0.00000_-;\-* #,##0.00000_-;_-* &quot;-&quot;_-;_-@_-"/>
    <numFmt numFmtId="196" formatCode="0_);[Red]\(0\)"/>
    <numFmt numFmtId="197" formatCode="_ * #,##0_ ;_ * \-#,##0_ ;_ * &quot;-&quot;_ ;_ @_ "/>
    <numFmt numFmtId="198" formatCode="0.00_ "/>
    <numFmt numFmtId="199" formatCode="yyyy&quot;/&quot;m&quot;/&quot;d"/>
    <numFmt numFmtId="200" formatCode="[$-412]yyyy&quot;년&quot;\ m&quot;월&quot;\ d&quot;일&quot;\ dddd"/>
    <numFmt numFmtId="201" formatCode="0.0000000_ "/>
    <numFmt numFmtId="202" formatCode="0.00000000_ "/>
    <numFmt numFmtId="203" formatCode="0.000000_ "/>
    <numFmt numFmtId="204" formatCode="0.00000_ "/>
    <numFmt numFmtId="205" formatCode="0.0000_ "/>
    <numFmt numFmtId="206" formatCode="0.000_ "/>
    <numFmt numFmtId="207" formatCode="0.0_ "/>
    <numFmt numFmtId="208" formatCode="_-* #,##0.000_-;\-* #,##0.000_-;_-* &quot;-&quot;???_-;_-@_-"/>
    <numFmt numFmtId="209" formatCode="_-* #,##0.0_-;\-* #,##0.0_-;_-* &quot;-&quot;?_-;_-@_-"/>
    <numFmt numFmtId="210" formatCode="mm&quot;월&quot;\ dd&quot;일&quot;"/>
    <numFmt numFmtId="211" formatCode="yyyy&quot;-&quot;m&quot;-&quot;d"/>
    <numFmt numFmtId="212" formatCode="#,##0&quot;개&quot;"/>
    <numFmt numFmtId="213" formatCode="[$-412]AM/PM\ h:mm:ss"/>
    <numFmt numFmtId="214" formatCode="&quot;₩&quot;#,##0_);[Red]\(&quot;₩&quot;#,##0\)"/>
  </numFmts>
  <fonts count="6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9"/>
      <name val="굴림"/>
      <family val="3"/>
    </font>
    <font>
      <sz val="10"/>
      <name val="돋움"/>
      <family val="3"/>
    </font>
    <font>
      <sz val="10"/>
      <name val="돋움체"/>
      <family val="3"/>
    </font>
    <font>
      <sz val="11"/>
      <color indexed="43"/>
      <name val="돋움"/>
      <family val="3"/>
    </font>
    <font>
      <b/>
      <sz val="10"/>
      <name val="돋움"/>
      <family val="3"/>
    </font>
    <font>
      <u val="single"/>
      <sz val="10.65"/>
      <color indexed="12"/>
      <name val="돋움"/>
      <family val="3"/>
    </font>
    <font>
      <u val="single"/>
      <sz val="10.65"/>
      <color indexed="36"/>
      <name val="돋움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하나 L"/>
      <family val="1"/>
    </font>
    <font>
      <sz val="11"/>
      <name val="하나 L"/>
      <family val="1"/>
    </font>
    <font>
      <b/>
      <sz val="11"/>
      <name val="하나 L"/>
      <family val="1"/>
    </font>
    <font>
      <sz val="10"/>
      <name val="하나 L"/>
      <family val="1"/>
    </font>
    <font>
      <i/>
      <sz val="11"/>
      <name val="하나 L"/>
      <family val="1"/>
    </font>
    <font>
      <sz val="11"/>
      <color indexed="31"/>
      <name val="하나 L"/>
      <family val="1"/>
    </font>
    <font>
      <b/>
      <sz val="9"/>
      <color indexed="48"/>
      <name val="하나 L"/>
      <family val="1"/>
    </font>
    <font>
      <sz val="11"/>
      <color indexed="41"/>
      <name val="하나 L"/>
      <family val="1"/>
    </font>
    <font>
      <b/>
      <sz val="10"/>
      <name val="하나 L"/>
      <family val="1"/>
    </font>
    <font>
      <b/>
      <u val="single"/>
      <sz val="10"/>
      <name val="하나 L"/>
      <family val="1"/>
    </font>
    <font>
      <b/>
      <u val="single"/>
      <sz val="11"/>
      <name val="하나 L"/>
      <family val="1"/>
    </font>
    <font>
      <u val="single"/>
      <sz val="10"/>
      <name val="하나 L"/>
      <family val="1"/>
    </font>
    <font>
      <b/>
      <sz val="16"/>
      <name val="하나 L"/>
      <family val="1"/>
    </font>
    <font>
      <b/>
      <sz val="12"/>
      <name val="하나 L"/>
      <family val="1"/>
    </font>
    <font>
      <b/>
      <sz val="10"/>
      <color indexed="12"/>
      <name val="하나 L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22"/>
      <name val="하나 L"/>
      <family val="1"/>
    </font>
    <font>
      <b/>
      <sz val="14"/>
      <color indexed="8"/>
      <name val="하나 L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0" tint="-0.1499900072813034"/>
      <name val="하나 L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FF9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medium"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87" fontId="0" fillId="0" borderId="0" xfId="0" applyNumberFormat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11" fillId="33" borderId="10" xfId="0" applyNumberFormat="1" applyFont="1" applyFill="1" applyBorder="1" applyAlignment="1">
      <alignment/>
    </xf>
    <xf numFmtId="41" fontId="11" fillId="0" borderId="0" xfId="48" applyFont="1" applyAlignment="1">
      <alignment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1" fontId="10" fillId="0" borderId="10" xfId="48" applyFont="1" applyBorder="1" applyAlignment="1">
      <alignment/>
    </xf>
    <xf numFmtId="14" fontId="10" fillId="33" borderId="10" xfId="0" applyNumberFormat="1" applyFont="1" applyFill="1" applyBorder="1" applyAlignment="1">
      <alignment horizontal="center"/>
    </xf>
    <xf numFmtId="196" fontId="4" fillId="0" borderId="10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1" fontId="10" fillId="0" borderId="0" xfId="48" applyFont="1" applyBorder="1" applyAlignment="1">
      <alignment/>
    </xf>
    <xf numFmtId="9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9" fontId="11" fillId="0" borderId="0" xfId="0" applyNumberFormat="1" applyFont="1" applyAlignment="1">
      <alignment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0" fontId="10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7" fillId="34" borderId="10" xfId="0" applyFont="1" applyFill="1" applyBorder="1" applyAlignment="1" quotePrefix="1">
      <alignment horizontal="center"/>
    </xf>
    <xf numFmtId="0" fontId="7" fillId="33" borderId="10" xfId="0" applyFont="1" applyFill="1" applyBorder="1" applyAlignment="1" quotePrefix="1">
      <alignment horizontal="center"/>
    </xf>
    <xf numFmtId="41" fontId="10" fillId="0" borderId="10" xfId="48" applyFont="1" applyFill="1" applyBorder="1" applyAlignment="1">
      <alignment/>
    </xf>
    <xf numFmtId="41" fontId="10" fillId="33" borderId="10" xfId="48" applyFont="1" applyFill="1" applyBorder="1" applyAlignment="1">
      <alignment/>
    </xf>
    <xf numFmtId="41" fontId="10" fillId="0" borderId="0" xfId="48" applyFont="1" applyFill="1" applyBorder="1" applyAlignment="1">
      <alignment/>
    </xf>
    <xf numFmtId="41" fontId="4" fillId="0" borderId="0" xfId="48" applyFont="1" applyFill="1" applyBorder="1" applyAlignment="1">
      <alignment/>
    </xf>
    <xf numFmtId="198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211" fontId="10" fillId="33" borderId="10" xfId="0" applyNumberFormat="1" applyFont="1" applyFill="1" applyBorder="1" applyAlignment="1">
      <alignment horizontal="center"/>
    </xf>
    <xf numFmtId="0" fontId="6" fillId="35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4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 quotePrefix="1">
      <alignment horizontal="left" vertical="center"/>
      <protection hidden="1"/>
    </xf>
    <xf numFmtId="0" fontId="0" fillId="35" borderId="0" xfId="0" applyFill="1" applyAlignment="1">
      <alignment/>
    </xf>
    <xf numFmtId="0" fontId="0" fillId="35" borderId="0" xfId="0" applyFill="1" applyAlignment="1" applyProtection="1">
      <alignment vertical="center" wrapText="1"/>
      <protection hidden="1"/>
    </xf>
    <xf numFmtId="0" fontId="8" fillId="35" borderId="0" xfId="62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79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 hidden="1"/>
    </xf>
    <xf numFmtId="178" fontId="16" fillId="0" borderId="13" xfId="48" applyNumberFormat="1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9" fontId="16" fillId="0" borderId="0" xfId="43" applyFont="1" applyFill="1" applyBorder="1" applyAlignment="1" applyProtection="1">
      <alignment horizontal="left" vertical="center"/>
      <protection locked="0"/>
    </xf>
    <xf numFmtId="14" fontId="16" fillId="0" borderId="0" xfId="0" applyNumberFormat="1" applyFont="1" applyFill="1" applyBorder="1" applyAlignment="1" applyProtection="1">
      <alignment vertical="center"/>
      <protection hidden="1"/>
    </xf>
    <xf numFmtId="0" fontId="14" fillId="0" borderId="17" xfId="0" applyFont="1" applyBorder="1" applyAlignment="1" applyProtection="1">
      <alignment vertical="center"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0" fontId="16" fillId="0" borderId="18" xfId="0" applyFont="1" applyFill="1" applyBorder="1" applyAlignment="1" applyProtection="1">
      <alignment vertical="center"/>
      <protection hidden="1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177" fontId="21" fillId="0" borderId="0" xfId="0" applyNumberFormat="1" applyFont="1" applyFill="1" applyBorder="1" applyAlignment="1" applyProtection="1">
      <alignment horizontal="right" vertical="center"/>
      <protection hidden="1"/>
    </xf>
    <xf numFmtId="177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177" fontId="16" fillId="0" borderId="0" xfId="0" applyNumberFormat="1" applyFont="1" applyFill="1" applyBorder="1" applyAlignment="1" applyProtection="1">
      <alignment vertical="center"/>
      <protection hidden="1"/>
    </xf>
    <xf numFmtId="177" fontId="22" fillId="0" borderId="0" xfId="0" applyNumberFormat="1" applyFont="1" applyFill="1" applyBorder="1" applyAlignment="1" applyProtection="1">
      <alignment horizontal="center" vertical="center"/>
      <protection hidden="1"/>
    </xf>
    <xf numFmtId="177" fontId="22" fillId="0" borderId="0" xfId="0" applyNumberFormat="1" applyFont="1" applyFill="1" applyBorder="1" applyAlignment="1" applyProtection="1">
      <alignment vertical="center"/>
      <protection hidden="1"/>
    </xf>
    <xf numFmtId="177" fontId="16" fillId="0" borderId="0" xfId="0" applyNumberFormat="1" applyFont="1" applyFill="1" applyBorder="1" applyAlignment="1" applyProtection="1">
      <alignment horizontal="center" vertical="center"/>
      <protection hidden="1"/>
    </xf>
    <xf numFmtId="177" fontId="24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20" xfId="0" applyFont="1" applyBorder="1" applyAlignment="1" applyProtection="1">
      <alignment vertical="center"/>
      <protection hidden="1"/>
    </xf>
    <xf numFmtId="0" fontId="16" fillId="0" borderId="20" xfId="0" applyFont="1" applyFill="1" applyBorder="1" applyAlignment="1" applyProtection="1">
      <alignment vertical="center"/>
      <protection hidden="1"/>
    </xf>
    <xf numFmtId="0" fontId="14" fillId="0" borderId="2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0" fontId="10" fillId="0" borderId="10" xfId="0" applyNumberFormat="1" applyFont="1" applyBorder="1" applyAlignment="1">
      <alignment horizontal="center"/>
    </xf>
    <xf numFmtId="14" fontId="14" fillId="0" borderId="21" xfId="0" applyNumberFormat="1" applyFont="1" applyFill="1" applyBorder="1" applyAlignment="1" applyProtection="1">
      <alignment vertical="center"/>
      <protection locked="0"/>
    </xf>
    <xf numFmtId="0" fontId="14" fillId="36" borderId="22" xfId="0" applyFont="1" applyFill="1" applyBorder="1" applyAlignment="1" applyProtection="1">
      <alignment horizontal="left" vertical="center"/>
      <protection hidden="1"/>
    </xf>
    <xf numFmtId="0" fontId="13" fillId="36" borderId="23" xfId="0" applyFont="1" applyFill="1" applyBorder="1" applyAlignment="1" applyProtection="1" quotePrefix="1">
      <alignment horizontal="left" vertical="center"/>
      <protection hidden="1"/>
    </xf>
    <xf numFmtId="0" fontId="14" fillId="36" borderId="24" xfId="0" applyFont="1" applyFill="1" applyBorder="1" applyAlignment="1" applyProtection="1">
      <alignment vertical="center"/>
      <protection hidden="1"/>
    </xf>
    <xf numFmtId="0" fontId="14" fillId="36" borderId="25" xfId="0" applyFont="1" applyFill="1" applyBorder="1" applyAlignment="1" applyProtection="1">
      <alignment vertical="center"/>
      <protection hidden="1"/>
    </xf>
    <xf numFmtId="0" fontId="26" fillId="36" borderId="26" xfId="0" applyFont="1" applyFill="1" applyBorder="1" applyAlignment="1" applyProtection="1">
      <alignment vertical="center"/>
      <protection hidden="1"/>
    </xf>
    <xf numFmtId="0" fontId="14" fillId="36" borderId="0" xfId="0" applyFont="1" applyFill="1" applyBorder="1" applyAlignment="1" applyProtection="1">
      <alignment vertical="center"/>
      <protection hidden="1"/>
    </xf>
    <xf numFmtId="179" fontId="16" fillId="36" borderId="0" xfId="0" applyNumberFormat="1" applyFont="1" applyFill="1" applyBorder="1" applyAlignment="1" applyProtection="1">
      <alignment horizontal="left" vertical="center"/>
      <protection hidden="1"/>
    </xf>
    <xf numFmtId="0" fontId="14" fillId="36" borderId="27" xfId="0" applyFont="1" applyFill="1" applyBorder="1" applyAlignment="1" applyProtection="1">
      <alignment vertical="center"/>
      <protection hidden="1"/>
    </xf>
    <xf numFmtId="0" fontId="15" fillId="36" borderId="26" xfId="0" applyFont="1" applyFill="1" applyBorder="1" applyAlignment="1" applyProtection="1">
      <alignment vertical="center"/>
      <protection hidden="1"/>
    </xf>
    <xf numFmtId="0" fontId="15" fillId="36" borderId="26" xfId="0" applyFont="1" applyFill="1" applyBorder="1" applyAlignment="1" applyProtection="1">
      <alignment horizontal="left" vertical="center"/>
      <protection locked="0"/>
    </xf>
    <xf numFmtId="0" fontId="15" fillId="36" borderId="0" xfId="0" applyFont="1" applyFill="1" applyBorder="1" applyAlignment="1" applyProtection="1">
      <alignment horizontal="left" vertical="center"/>
      <protection locked="0"/>
    </xf>
    <xf numFmtId="0" fontId="14" fillId="36" borderId="0" xfId="0" applyFont="1" applyFill="1" applyBorder="1" applyAlignment="1" applyProtection="1">
      <alignment vertical="center"/>
      <protection locked="0"/>
    </xf>
    <xf numFmtId="0" fontId="14" fillId="36" borderId="27" xfId="0" applyFont="1" applyFill="1" applyBorder="1" applyAlignment="1" applyProtection="1">
      <alignment vertical="center"/>
      <protection locked="0"/>
    </xf>
    <xf numFmtId="0" fontId="18" fillId="36" borderId="0" xfId="0" applyFont="1" applyFill="1" applyBorder="1" applyAlignment="1" applyProtection="1">
      <alignment vertical="center"/>
      <protection locked="0"/>
    </xf>
    <xf numFmtId="0" fontId="15" fillId="36" borderId="0" xfId="0" applyFont="1" applyFill="1" applyBorder="1" applyAlignment="1" applyProtection="1">
      <alignment vertical="center"/>
      <protection locked="0"/>
    </xf>
    <xf numFmtId="0" fontId="19" fillId="36" borderId="26" xfId="0" applyFont="1" applyFill="1" applyBorder="1" applyAlignment="1" applyProtection="1">
      <alignment horizontal="left" vertical="center"/>
      <protection locked="0"/>
    </xf>
    <xf numFmtId="0" fontId="20" fillId="36" borderId="0" xfId="0" applyFont="1" applyFill="1" applyBorder="1" applyAlignment="1" applyProtection="1">
      <alignment vertical="center"/>
      <protection locked="0"/>
    </xf>
    <xf numFmtId="0" fontId="14" fillId="36" borderId="28" xfId="0" applyFont="1" applyFill="1" applyBorder="1" applyAlignment="1" applyProtection="1">
      <alignment vertical="center"/>
      <protection hidden="1"/>
    </xf>
    <xf numFmtId="0" fontId="8" fillId="36" borderId="28" xfId="62" applyFill="1" applyBorder="1" applyAlignment="1" applyProtection="1">
      <alignment vertical="center"/>
      <protection hidden="1"/>
    </xf>
    <xf numFmtId="0" fontId="14" fillId="36" borderId="29" xfId="0" applyFont="1" applyFill="1" applyBorder="1" applyAlignment="1" applyProtection="1">
      <alignment vertical="center"/>
      <protection hidden="1"/>
    </xf>
    <xf numFmtId="0" fontId="14" fillId="36" borderId="26" xfId="0" applyFont="1" applyFill="1" applyBorder="1" applyAlignment="1" applyProtection="1">
      <alignment horizontal="left" vertical="center"/>
      <protection hidden="1"/>
    </xf>
    <xf numFmtId="0" fontId="21" fillId="36" borderId="26" xfId="0" applyFont="1" applyFill="1" applyBorder="1" applyAlignment="1" applyProtection="1">
      <alignment horizontal="left" vertical="center"/>
      <protection hidden="1"/>
    </xf>
    <xf numFmtId="0" fontId="16" fillId="36" borderId="0" xfId="0" applyFont="1" applyFill="1" applyBorder="1" applyAlignment="1" applyProtection="1">
      <alignment vertical="center"/>
      <protection hidden="1"/>
    </xf>
    <xf numFmtId="177" fontId="15" fillId="36" borderId="0" xfId="0" applyNumberFormat="1" applyFont="1" applyFill="1" applyBorder="1" applyAlignment="1" applyProtection="1">
      <alignment horizontal="center" vertical="center"/>
      <protection hidden="1"/>
    </xf>
    <xf numFmtId="177" fontId="21" fillId="36" borderId="0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vertical="center"/>
      <protection hidden="1"/>
    </xf>
    <xf numFmtId="0" fontId="16" fillId="36" borderId="26" xfId="0" applyFont="1" applyFill="1" applyBorder="1" applyAlignment="1" applyProtection="1">
      <alignment vertical="center"/>
      <protection hidden="1"/>
    </xf>
    <xf numFmtId="0" fontId="16" fillId="36" borderId="0" xfId="0" applyFont="1" applyFill="1" applyBorder="1" applyAlignment="1" applyProtection="1">
      <alignment horizontal="right" vertical="center"/>
      <protection hidden="1"/>
    </xf>
    <xf numFmtId="177" fontId="14" fillId="36" borderId="0" xfId="0" applyNumberFormat="1" applyFont="1" applyFill="1" applyBorder="1" applyAlignment="1" applyProtection="1">
      <alignment vertical="center"/>
      <protection hidden="1"/>
    </xf>
    <xf numFmtId="177" fontId="23" fillId="36" borderId="0" xfId="0" applyNumberFormat="1" applyFont="1" applyFill="1" applyBorder="1" applyAlignment="1" applyProtection="1">
      <alignment horizontal="center" vertical="center"/>
      <protection hidden="1"/>
    </xf>
    <xf numFmtId="177" fontId="23" fillId="36" borderId="0" xfId="0" applyNumberFormat="1" applyFont="1" applyFill="1" applyBorder="1" applyAlignment="1" applyProtection="1">
      <alignment vertical="center"/>
      <protection hidden="1"/>
    </xf>
    <xf numFmtId="0" fontId="16" fillId="36" borderId="26" xfId="0" applyFont="1" applyFill="1" applyBorder="1" applyAlignment="1" applyProtection="1">
      <alignment horizontal="left" vertical="center"/>
      <protection hidden="1"/>
    </xf>
    <xf numFmtId="177" fontId="14" fillId="36" borderId="0" xfId="0" applyNumberFormat="1" applyFont="1" applyFill="1" applyBorder="1" applyAlignment="1" applyProtection="1">
      <alignment horizontal="center" vertical="center"/>
      <protection hidden="1"/>
    </xf>
    <xf numFmtId="177" fontId="16" fillId="36" borderId="0" xfId="0" applyNumberFormat="1" applyFont="1" applyFill="1" applyBorder="1" applyAlignment="1" applyProtection="1">
      <alignment horizontal="right" vertical="center"/>
      <protection hidden="1"/>
    </xf>
    <xf numFmtId="0" fontId="16" fillId="36" borderId="18" xfId="0" applyFont="1" applyFill="1" applyBorder="1" applyAlignment="1" applyProtection="1">
      <alignment vertical="center"/>
      <protection hidden="1"/>
    </xf>
    <xf numFmtId="177" fontId="24" fillId="36" borderId="0" xfId="0" applyNumberFormat="1" applyFont="1" applyFill="1" applyBorder="1" applyAlignment="1" applyProtection="1">
      <alignment horizontal="right" vertical="center"/>
      <protection hidden="1"/>
    </xf>
    <xf numFmtId="0" fontId="14" fillId="36" borderId="0" xfId="0" applyFont="1" applyFill="1" applyAlignment="1" applyProtection="1">
      <alignment vertical="center"/>
      <protection hidden="1"/>
    </xf>
    <xf numFmtId="0" fontId="64" fillId="36" borderId="0" xfId="0" applyFont="1" applyFill="1" applyBorder="1" applyAlignment="1" applyProtection="1">
      <alignment vertical="center"/>
      <protection locked="0"/>
    </xf>
    <xf numFmtId="177" fontId="16" fillId="36" borderId="0" xfId="0" applyNumberFormat="1" applyFont="1" applyFill="1" applyBorder="1" applyAlignment="1" applyProtection="1">
      <alignment vertical="center"/>
      <protection hidden="1"/>
    </xf>
    <xf numFmtId="177" fontId="21" fillId="36" borderId="0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horizontal="right" vertical="center"/>
      <protection hidden="1"/>
    </xf>
    <xf numFmtId="177" fontId="24" fillId="0" borderId="0" xfId="0" applyNumberFormat="1" applyFont="1" applyFill="1" applyBorder="1" applyAlignment="1" applyProtection="1">
      <alignment horizontal="right" vertical="center"/>
      <protection hidden="1"/>
    </xf>
    <xf numFmtId="177" fontId="16" fillId="0" borderId="0" xfId="0" applyNumberFormat="1" applyFont="1" applyFill="1" applyBorder="1" applyAlignment="1" applyProtection="1">
      <alignment horizontal="right" vertical="center"/>
      <protection hidden="1"/>
    </xf>
    <xf numFmtId="177" fontId="22" fillId="0" borderId="0" xfId="0" applyNumberFormat="1" applyFont="1" applyFill="1" applyBorder="1" applyAlignment="1" applyProtection="1">
      <alignment horizontal="right" vertical="center"/>
      <protection hidden="1"/>
    </xf>
    <xf numFmtId="178" fontId="16" fillId="0" borderId="0" xfId="48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178" fontId="16" fillId="0" borderId="18" xfId="43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177" fontId="24" fillId="36" borderId="18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79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78" fontId="16" fillId="0" borderId="13" xfId="48" applyNumberFormat="1" applyFont="1" applyFill="1" applyBorder="1" applyAlignment="1" applyProtection="1">
      <alignment horizontal="left" vertical="center"/>
      <protection locked="0"/>
    </xf>
    <xf numFmtId="180" fontId="16" fillId="0" borderId="13" xfId="48" applyNumberFormat="1" applyFont="1" applyFill="1" applyBorder="1" applyAlignment="1" applyProtection="1">
      <alignment horizontal="right" vertical="center"/>
      <protection locked="0"/>
    </xf>
    <xf numFmtId="177" fontId="22" fillId="36" borderId="0" xfId="0" applyNumberFormat="1" applyFont="1" applyFill="1" applyBorder="1" applyAlignment="1" applyProtection="1">
      <alignment horizontal="right" vertical="center"/>
      <protection hidden="1"/>
    </xf>
    <xf numFmtId="0" fontId="16" fillId="36" borderId="26" xfId="0" applyFont="1" applyFill="1" applyBorder="1" applyAlignment="1" applyProtection="1">
      <alignment horizontal="center" vertical="center"/>
      <protection hidden="1"/>
    </xf>
    <xf numFmtId="177" fontId="21" fillId="36" borderId="0" xfId="0" applyNumberFormat="1" applyFont="1" applyFill="1" applyBorder="1" applyAlignment="1" applyProtection="1">
      <alignment horizontal="right" vertical="center"/>
      <protection hidden="1"/>
    </xf>
    <xf numFmtId="177" fontId="16" fillId="36" borderId="0" xfId="0" applyNumberFormat="1" applyFont="1" applyFill="1" applyBorder="1" applyAlignment="1" applyProtection="1">
      <alignment vertical="center"/>
      <protection hidden="1"/>
    </xf>
    <xf numFmtId="0" fontId="0" fillId="36" borderId="0" xfId="0" applyFill="1" applyAlignment="1">
      <alignment vertical="center"/>
    </xf>
    <xf numFmtId="178" fontId="17" fillId="0" borderId="30" xfId="48" applyNumberFormat="1" applyFont="1" applyFill="1" applyBorder="1" applyAlignment="1" applyProtection="1">
      <alignment horizontal="left" vertical="center"/>
      <protection locked="0"/>
    </xf>
    <xf numFmtId="178" fontId="17" fillId="0" borderId="31" xfId="48" applyNumberFormat="1" applyFont="1" applyFill="1" applyBorder="1" applyAlignment="1" applyProtection="1">
      <alignment horizontal="left" vertical="center"/>
      <protection locked="0"/>
    </xf>
    <xf numFmtId="180" fontId="17" fillId="0" borderId="30" xfId="48" applyNumberFormat="1" applyFont="1" applyFill="1" applyBorder="1" applyAlignment="1" applyProtection="1">
      <alignment horizontal="left" vertical="center"/>
      <protection locked="0"/>
    </xf>
    <xf numFmtId="180" fontId="17" fillId="0" borderId="32" xfId="48" applyNumberFormat="1" applyFont="1" applyFill="1" applyBorder="1" applyAlignment="1" applyProtection="1">
      <alignment horizontal="left" vertical="center"/>
      <protection locked="0"/>
    </xf>
    <xf numFmtId="0" fontId="14" fillId="36" borderId="26" xfId="0" applyFont="1" applyFill="1" applyBorder="1" applyAlignment="1" applyProtection="1" quotePrefix="1">
      <alignment horizontal="center" vertical="center"/>
      <protection locked="0"/>
    </xf>
    <xf numFmtId="0" fontId="14" fillId="36" borderId="0" xfId="0" applyFont="1" applyFill="1" applyBorder="1" applyAlignment="1" applyProtection="1" quotePrefix="1">
      <alignment horizontal="center" vertical="center"/>
      <protection locked="0"/>
    </xf>
    <xf numFmtId="0" fontId="14" fillId="36" borderId="27" xfId="0" applyFont="1" applyFill="1" applyBorder="1" applyAlignment="1" applyProtection="1" quotePrefix="1">
      <alignment horizontal="center" vertical="center"/>
      <protection locked="0"/>
    </xf>
    <xf numFmtId="178" fontId="17" fillId="0" borderId="32" xfId="48" applyNumberFormat="1" applyFont="1" applyFill="1" applyBorder="1" applyAlignment="1" applyProtection="1">
      <alignment horizontal="left" vertical="center"/>
      <protection locked="0"/>
    </xf>
    <xf numFmtId="212" fontId="17" fillId="0" borderId="30" xfId="48" applyNumberFormat="1" applyFont="1" applyFill="1" applyBorder="1" applyAlignment="1" applyProtection="1">
      <alignment horizontal="left" vertical="center"/>
      <protection locked="0"/>
    </xf>
    <xf numFmtId="212" fontId="17" fillId="0" borderId="32" xfId="48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647700</xdr:colOff>
      <xdr:row>149</xdr:row>
      <xdr:rowOff>85725</xdr:rowOff>
    </xdr:from>
    <xdr:to>
      <xdr:col>22</xdr:col>
      <xdr:colOff>9525</xdr:colOff>
      <xdr:row>151</xdr:row>
      <xdr:rowOff>0</xdr:rowOff>
    </xdr:to>
    <xdr:pic>
      <xdr:nvPicPr>
        <xdr:cNvPr id="1" name="Picture 46" descr="국문시그니춰_모티프가로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27279600"/>
          <a:ext cx="1028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76200</xdr:rowOff>
    </xdr:from>
    <xdr:to>
      <xdr:col>8</xdr:col>
      <xdr:colOff>66675</xdr:colOff>
      <xdr:row>0</xdr:row>
      <xdr:rowOff>2505075</xdr:rowOff>
    </xdr:to>
    <xdr:sp>
      <xdr:nvSpPr>
        <xdr:cNvPr id="2" name="Text Box 48"/>
        <xdr:cNvSpPr txBox="1">
          <a:spLocks noChangeArrowheads="1"/>
        </xdr:cNvSpPr>
      </xdr:nvSpPr>
      <xdr:spPr>
        <a:xfrm>
          <a:off x="314325" y="76200"/>
          <a:ext cx="5505450" cy="242887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- 75%적용&gt;
   -  대상 :  본점제휴법무법인 이용시,  원클릭모기지 / 아낌e 보금자리론 오프라인 설정등기시 
   ■ 처리절차
     ① 국민주택채권할인료는 고객으로부터 수납하고 은행 부담분은 계정단말 4025에서
        『담보권설정수수료(1502601)』로 지급처리하여 비용청구인(ex:법무사)의 지정계좌로 입금처리 
     ② 입금처리 완료 후 지급전표와 지급내역표, 입금증(이체증)에 영업점장(RM)의 결재를 받아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8983325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38100</xdr:rowOff>
    </xdr:from>
    <xdr:to>
      <xdr:col>9</xdr:col>
      <xdr:colOff>0</xdr:colOff>
      <xdr:row>42</xdr:row>
      <xdr:rowOff>95250</xdr:rowOff>
    </xdr:to>
    <xdr:pic>
      <xdr:nvPicPr>
        <xdr:cNvPr id="4" name="그림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82391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647700</xdr:colOff>
      <xdr:row>149</xdr:row>
      <xdr:rowOff>85725</xdr:rowOff>
    </xdr:from>
    <xdr:to>
      <xdr:col>22</xdr:col>
      <xdr:colOff>9525</xdr:colOff>
      <xdr:row>151</xdr:row>
      <xdr:rowOff>0</xdr:rowOff>
    </xdr:to>
    <xdr:pic>
      <xdr:nvPicPr>
        <xdr:cNvPr id="1" name="Picture 46" descr="국문시그니춰_모티프가로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27279600"/>
          <a:ext cx="1028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76200</xdr:rowOff>
    </xdr:from>
    <xdr:to>
      <xdr:col>8</xdr:col>
      <xdr:colOff>66675</xdr:colOff>
      <xdr:row>0</xdr:row>
      <xdr:rowOff>2505075</xdr:rowOff>
    </xdr:to>
    <xdr:sp>
      <xdr:nvSpPr>
        <xdr:cNvPr id="2" name="Text Box 48"/>
        <xdr:cNvSpPr txBox="1">
          <a:spLocks noChangeArrowheads="1"/>
        </xdr:cNvSpPr>
      </xdr:nvSpPr>
      <xdr:spPr>
        <a:xfrm>
          <a:off x="314325" y="76200"/>
          <a:ext cx="5505450" cy="242887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- 70%적용&gt;
   -  대상 :  본점제휴법무법인 이용시,  원클릭모기지 / 아낌e 보금자리론 오프라인 설정등기시 
   ■ 처리절차
     ① 국민주택채권할인료는 고객으로부터 수납하고 은행 부담분은 계정단말 4025에서
        『담보권설정수수료(1502601)』로 지급처리하여 비용청구인(ex:법무사)의 지정계좌로 입금처리 
     ② 입금처리 완료 후 지급전표와 지급내역표, 입금증(이체증)에 영업점장(RM)의 결재를 받아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8983325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38100</xdr:rowOff>
    </xdr:from>
    <xdr:to>
      <xdr:col>9</xdr:col>
      <xdr:colOff>0</xdr:colOff>
      <xdr:row>42</xdr:row>
      <xdr:rowOff>95250</xdr:rowOff>
    </xdr:to>
    <xdr:pic>
      <xdr:nvPicPr>
        <xdr:cNvPr id="4" name="그림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82391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647700</xdr:colOff>
      <xdr:row>149</xdr:row>
      <xdr:rowOff>85725</xdr:rowOff>
    </xdr:from>
    <xdr:to>
      <xdr:col>22</xdr:col>
      <xdr:colOff>9525</xdr:colOff>
      <xdr:row>151</xdr:row>
      <xdr:rowOff>0</xdr:rowOff>
    </xdr:to>
    <xdr:pic>
      <xdr:nvPicPr>
        <xdr:cNvPr id="1" name="Picture 46" descr="국문시그니춰_모티프가로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27279600"/>
          <a:ext cx="1028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76200</xdr:rowOff>
    </xdr:from>
    <xdr:to>
      <xdr:col>8</xdr:col>
      <xdr:colOff>66675</xdr:colOff>
      <xdr:row>0</xdr:row>
      <xdr:rowOff>2505075</xdr:rowOff>
    </xdr:to>
    <xdr:sp>
      <xdr:nvSpPr>
        <xdr:cNvPr id="2" name="Text Box 48"/>
        <xdr:cNvSpPr txBox="1">
          <a:spLocks noChangeArrowheads="1"/>
        </xdr:cNvSpPr>
      </xdr:nvSpPr>
      <xdr:spPr>
        <a:xfrm>
          <a:off x="314325" y="76200"/>
          <a:ext cx="5505450" cy="242887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본점제휴법무법인용&gt;
   -  대상 :  본점제휴법무법인 이용시,  원클릭모기지 / 아낌e 보금자리론 오프라인 설정등기시 
   ■ 처리절차
     ① 국민주택채권할인료는 고객으로부터 수납하고 은행 부담분은 계정단말 4025에서
        『담보권설정수수료(1502601)』로 지급처리하여 비용청구인(ex:법무사)의 지정계좌로 입금처리 
     ② 입금처리 완료 후 지급전표와 지급내역표, 입금증(이체증)에 영업점장(RM)의 결재를 받아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8983325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38100</xdr:rowOff>
    </xdr:from>
    <xdr:to>
      <xdr:col>9</xdr:col>
      <xdr:colOff>0</xdr:colOff>
      <xdr:row>42</xdr:row>
      <xdr:rowOff>95250</xdr:rowOff>
    </xdr:to>
    <xdr:pic>
      <xdr:nvPicPr>
        <xdr:cNvPr id="4" name="그림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82391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647700</xdr:colOff>
      <xdr:row>149</xdr:row>
      <xdr:rowOff>85725</xdr:rowOff>
    </xdr:from>
    <xdr:to>
      <xdr:col>22</xdr:col>
      <xdr:colOff>9525</xdr:colOff>
      <xdr:row>151</xdr:row>
      <xdr:rowOff>0</xdr:rowOff>
    </xdr:to>
    <xdr:pic>
      <xdr:nvPicPr>
        <xdr:cNvPr id="1" name="Picture 46" descr="국문시그니춰_모티프가로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27098625"/>
          <a:ext cx="1028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8</xdr:col>
      <xdr:colOff>66675</xdr:colOff>
      <xdr:row>0</xdr:row>
      <xdr:rowOff>2305050</xdr:rowOff>
    </xdr:to>
    <xdr:sp>
      <xdr:nvSpPr>
        <xdr:cNvPr id="2" name="Text Box 48"/>
        <xdr:cNvSpPr txBox="1">
          <a:spLocks noChangeArrowheads="1"/>
        </xdr:cNvSpPr>
      </xdr:nvSpPr>
      <xdr:spPr>
        <a:xfrm>
          <a:off x="314325" y="76200"/>
          <a:ext cx="5505450" cy="2219325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원클릭모기지(전자등기) &gt;
   ■ 처리절차
     ① 국민주택채권할인료는 고객으로부터 수납하고 은행 부담분은 계정단말 4025에서
         『담보권설정수수료(1502601)』로 지급처리하여 비용청구인(ex:법무사)의 지정계좌로 입금처리 
     ② 입금처리 완료 후 지급전표와 지급내역표, 입금증(이체증)에 영업점장(RM)의 결재를 받아
         채권서류에 첨부하여 편철, 보관
   ■ 작성방법
     ① 주택채권할인일자 : 주택채권할인일을 입력하며 반드시 yyyy-mm-dd의 형식으로 입력
 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8802350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28575</xdr:rowOff>
    </xdr:from>
    <xdr:to>
      <xdr:col>9</xdr:col>
      <xdr:colOff>0</xdr:colOff>
      <xdr:row>42</xdr:row>
      <xdr:rowOff>95250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8048625"/>
          <a:ext cx="1133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647700</xdr:colOff>
      <xdr:row>149</xdr:row>
      <xdr:rowOff>85725</xdr:rowOff>
    </xdr:from>
    <xdr:to>
      <xdr:col>22</xdr:col>
      <xdr:colOff>9525</xdr:colOff>
      <xdr:row>151</xdr:row>
      <xdr:rowOff>0</xdr:rowOff>
    </xdr:to>
    <xdr:pic>
      <xdr:nvPicPr>
        <xdr:cNvPr id="1" name="Picture 46" descr="국문시그니춰_모티프가로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27098625"/>
          <a:ext cx="1028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8</xdr:col>
      <xdr:colOff>66675</xdr:colOff>
      <xdr:row>0</xdr:row>
      <xdr:rowOff>2276475</xdr:rowOff>
    </xdr:to>
    <xdr:sp>
      <xdr:nvSpPr>
        <xdr:cNvPr id="2" name="Text Box 48"/>
        <xdr:cNvSpPr txBox="1">
          <a:spLocks noChangeArrowheads="1"/>
        </xdr:cNvSpPr>
      </xdr:nvSpPr>
      <xdr:spPr>
        <a:xfrm>
          <a:off x="314325" y="76200"/>
          <a:ext cx="5505450" cy="2190750"/>
        </a:xfrm>
        <a:prstGeom prst="rect">
          <a:avLst/>
        </a:prstGeom>
        <a:solidFill>
          <a:srgbClr val="DBEEF4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&lt; 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근저당권설정비</a:t>
          </a:r>
          <a:r>
            <a:rPr lang="en-US" cap="none" sz="1400" b="1" i="0" u="none" baseline="0">
              <a:solidFill>
                <a:srgbClr val="000000"/>
              </a:solidFill>
              <a:latin typeface="하나 L"/>
              <a:ea typeface="하나 L"/>
              <a:cs typeface="하나 L"/>
            </a:rPr>
            <a:t> 지급내역표 - 아낌e-보금자리론(전자등기) &gt;
   ■ 처리절차
     ① 국민주택채권할인료는 고객으로부터 수납하고 은행 부담분은 계정단말 4025에서
         『담보권설정수수료(1502601)』로 지급처리하여 비용청구인(ex:법무사)의 지정계좌로 입금처리 
     ② 입금처리 완료 후 지급전표와 지급내역표, 입금증(이체증)에 영업점장(RM)의 결재를 받아  
         채권서류에 첨부하여 편철, 보관
   ■ 작성방법
     ① 주택채권할인일자 : 주택채권할인일을 입력하며 반드시 yyyy-mm-dd의 형식으로 입력
         예시) 2009-01-01 (○) / 20090101 (X)
     ② 주택채권매도단가 : 하나은행 홈페이지 제1종국민주택채권 할인일자의 매도단가를 입력</a:t>
          </a:r>
        </a:p>
      </xdr:txBody>
    </xdr:sp>
    <xdr:clientData/>
  </xdr:twoCellAnchor>
  <xdr:twoCellAnchor editAs="oneCell">
    <xdr:from>
      <xdr:col>18</xdr:col>
      <xdr:colOff>142875</xdr:colOff>
      <xdr:row>103</xdr:row>
      <xdr:rowOff>133350</xdr:rowOff>
    </xdr:from>
    <xdr:to>
      <xdr:col>22</xdr:col>
      <xdr:colOff>0</xdr:colOff>
      <xdr:row>107</xdr:row>
      <xdr:rowOff>76200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82350" y="18802350"/>
          <a:ext cx="20859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371475</xdr:colOff>
      <xdr:row>41</xdr:row>
      <xdr:rowOff>28575</xdr:rowOff>
    </xdr:from>
    <xdr:to>
      <xdr:col>9</xdr:col>
      <xdr:colOff>0</xdr:colOff>
      <xdr:row>42</xdr:row>
      <xdr:rowOff>85725</xdr:rowOff>
    </xdr:to>
    <xdr:pic>
      <xdr:nvPicPr>
        <xdr:cNvPr id="4" name="그림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80486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abank.com/hse/index.do?menuItemId=wpads492_08t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W155"/>
  <sheetViews>
    <sheetView showRowColHeaders="0" showZeros="0" tabSelected="1" showOutlineSymbols="0" zoomScale="90" zoomScaleNormal="90" zoomScaleSheetLayoutView="100" zoomScalePageLayoutView="0" workbookViewId="0" topLeftCell="A1">
      <selection activeCell="L1" sqref="L1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210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">
        <v>128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">
      <c r="A3" s="37"/>
      <c r="B3" s="84" t="s">
        <v>38</v>
      </c>
      <c r="C3" s="85"/>
      <c r="D3" s="85"/>
      <c r="E3" s="86">
        <f ca="1">TODAY()</f>
        <v>43419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41" t="s">
        <v>62</v>
      </c>
      <c r="D5" s="142"/>
      <c r="E5" s="90" t="s">
        <v>5</v>
      </c>
      <c r="F5" s="143">
        <v>8001011234567</v>
      </c>
      <c r="G5" s="14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45" t="s">
        <v>39</v>
      </c>
      <c r="C6" s="146"/>
      <c r="D6" s="146"/>
      <c r="E6" s="146"/>
      <c r="F6" s="146"/>
      <c r="G6" s="146"/>
      <c r="H6" s="146"/>
      <c r="I6" s="14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41">
        <v>385000000</v>
      </c>
      <c r="D7" s="148"/>
      <c r="E7" s="90" t="s">
        <v>1</v>
      </c>
      <c r="F7" s="91"/>
      <c r="G7" s="149">
        <v>1</v>
      </c>
      <c r="H7" s="15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43409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8</v>
      </c>
      <c r="F13" s="91"/>
      <c r="G13" s="141">
        <v>9000</v>
      </c>
      <c r="H13" s="14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133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8"/>
      <c r="G16" s="138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19"/>
      <c r="G17" s="119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9">
        <f>'즉시매도(75)'!$B$13</f>
        <v>391480</v>
      </c>
      <c r="G18" s="140"/>
      <c r="H18" s="118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6">
        <f>F22+F28</f>
        <v>1319450</v>
      </c>
      <c r="G20" s="140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6">
        <f>SUM(F24:G25)</f>
        <v>924000</v>
      </c>
      <c r="G22" s="136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0">
        <f>C7*0.2%</f>
        <v>770000</v>
      </c>
      <c r="G24" s="130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0">
        <f>ROUNDDOWN(F24*20%,-1)</f>
        <v>154000</v>
      </c>
      <c r="G25" s="130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6">
        <f>F33+F37+F40</f>
        <v>395450</v>
      </c>
      <c r="G28" s="136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0">
        <f>G7*17400</f>
        <v>17400</v>
      </c>
      <c r="G30" s="130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20"/>
      <c r="G31" s="120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20"/>
      <c r="G32" s="120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29">
        <f>SUM(F30:G32)</f>
        <v>30800</v>
      </c>
      <c r="G33" s="129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0">
        <f>IF(C7&gt;0,100000,0)*0.75</f>
        <v>75000</v>
      </c>
      <c r="G35" s="130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0">
        <f>IF((C7)&lt;=10000000,0,(IF((C7)&lt;=50000000,((C7)-10000000)*11/10000,IF((C7)&lt;=100000000,((C7)-50000000)*10/10000+44000,IF((C7)&lt;=300000000,(((C7)-100000000)*9/10000)+94000,IF((C7)&lt;=500000000,(((C7)-300000000)*8/10000)+274000,IF((C7)&lt;=1000000000,(((C7)-500000000)*7/10000)+434000,IF((C7)&lt;=2000000000,(((C7)-1000000000)*5/10000)+784000,IF((C7)&lt;=20000000000,(((C7)-2000000000)*4/10000)+1284000,8484000+((C7-20000000000)*1/10000))))))))))*0.75</f>
        <v>256500</v>
      </c>
      <c r="G36" s="130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29">
        <f>SUM(F35:G36)</f>
        <v>331500</v>
      </c>
      <c r="G37" s="129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129</v>
      </c>
      <c r="C39" s="102"/>
      <c r="D39" s="102"/>
      <c r="E39" s="102"/>
      <c r="F39" s="130">
        <f>ROUNDDOWN(F37*10%,-1)</f>
        <v>33150</v>
      </c>
      <c r="G39" s="130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29">
        <f>F39</f>
        <v>33150</v>
      </c>
      <c r="G40" s="129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5.17 / Last Updated '18.11)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1" t="s">
        <v>106</v>
      </c>
      <c r="P109" s="131"/>
      <c r="Q109" s="131"/>
      <c r="R109" s="131"/>
      <c r="S109" s="131"/>
      <c r="T109" s="131"/>
      <c r="U109" s="131"/>
      <c r="V109" s="47"/>
      <c r="W109" s="45"/>
    </row>
    <row r="110" spans="13:23" ht="14.25">
      <c r="M110" s="45"/>
      <c r="N110" s="45"/>
      <c r="O110" s="132">
        <f>E3</f>
        <v>43419</v>
      </c>
      <c r="P110" s="133"/>
      <c r="Q110" s="133"/>
      <c r="R110" s="133"/>
      <c r="S110" s="133"/>
      <c r="T110" s="133"/>
      <c r="U110" s="133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34" t="str">
        <f>C5</f>
        <v>김하나</v>
      </c>
      <c r="Q113" s="134"/>
      <c r="R113" s="51" t="s">
        <v>5</v>
      </c>
      <c r="S113" s="52"/>
      <c r="T113" s="135">
        <f>F5</f>
        <v>8001011234567</v>
      </c>
      <c r="U113" s="135"/>
      <c r="V113" s="53"/>
      <c r="W113" s="45"/>
    </row>
    <row r="114" spans="13:23" ht="14.25">
      <c r="M114" s="45"/>
      <c r="N114" s="54"/>
      <c r="O114" s="55" t="s">
        <v>6</v>
      </c>
      <c r="P114" s="124">
        <f>C7</f>
        <v>385000000</v>
      </c>
      <c r="Q114" s="124"/>
      <c r="R114" s="55" t="s">
        <v>1</v>
      </c>
      <c r="S114" s="56"/>
      <c r="T114" s="125">
        <f>G7</f>
        <v>1</v>
      </c>
      <c r="U114" s="125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43409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26">
        <f>G13</f>
        <v>9000</v>
      </c>
      <c r="U116" s="126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27"/>
      <c r="U119" s="127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22">
        <f>F18</f>
        <v>391480</v>
      </c>
      <c r="U121" s="12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23">
        <f>T125+T131</f>
        <v>1319450</v>
      </c>
      <c r="U123" s="12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23">
        <f>SUM(T127:U128)</f>
        <v>924000</v>
      </c>
      <c r="U125" s="123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22">
        <f>F24</f>
        <v>770000</v>
      </c>
      <c r="U127" s="122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22">
        <f>F25</f>
        <v>154000</v>
      </c>
      <c r="U128" s="122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23">
        <f>T136+T140+T143</f>
        <v>395450</v>
      </c>
      <c r="U131" s="123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22">
        <f>F30</f>
        <v>17400</v>
      </c>
      <c r="U133" s="122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22">
        <f>G31</f>
        <v>12200</v>
      </c>
      <c r="U134" s="122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22">
        <f>G32</f>
        <v>1200</v>
      </c>
      <c r="U135" s="122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21">
        <f>SUM(T133:U135)</f>
        <v>30800</v>
      </c>
      <c r="U136" s="121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58</v>
      </c>
      <c r="P138" s="56"/>
      <c r="Q138" s="56"/>
      <c r="R138" s="56"/>
      <c r="S138" s="56"/>
      <c r="T138" s="122">
        <f>F35</f>
        <v>75000</v>
      </c>
      <c r="U138" s="122"/>
      <c r="V138" s="72"/>
      <c r="W138" s="47"/>
    </row>
    <row r="139" spans="13:23" ht="14.25">
      <c r="M139" s="45"/>
      <c r="N139" s="45"/>
      <c r="O139" s="56" t="s">
        <v>59</v>
      </c>
      <c r="P139" s="56"/>
      <c r="Q139" s="56"/>
      <c r="R139" s="56"/>
      <c r="S139" s="56"/>
      <c r="T139" s="122">
        <f>F36</f>
        <v>256500</v>
      </c>
      <c r="U139" s="122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21">
        <f>SUM(T138:U139)</f>
        <v>331500</v>
      </c>
      <c r="U140" s="121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60</v>
      </c>
      <c r="P142" s="56"/>
      <c r="Q142" s="56"/>
      <c r="R142" s="56"/>
      <c r="S142" s="56"/>
      <c r="T142" s="122">
        <f>ROUNDDOWN(T140*10%,-1)</f>
        <v>33150</v>
      </c>
      <c r="U142" s="122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21">
        <f>T142</f>
        <v>33150</v>
      </c>
      <c r="U143" s="121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C5:D5"/>
    <mergeCell ref="F5:G5"/>
    <mergeCell ref="B6:I6"/>
    <mergeCell ref="C7:D7"/>
    <mergeCell ref="G7:H7"/>
    <mergeCell ref="G13:H13"/>
    <mergeCell ref="F16:G16"/>
    <mergeCell ref="F18:G18"/>
    <mergeCell ref="F20:G20"/>
    <mergeCell ref="F22:G22"/>
    <mergeCell ref="F24:G24"/>
    <mergeCell ref="F25:G25"/>
    <mergeCell ref="F28:G28"/>
    <mergeCell ref="F30:G30"/>
    <mergeCell ref="F33:G33"/>
    <mergeCell ref="B35:B36"/>
    <mergeCell ref="F35:G35"/>
    <mergeCell ref="F36:G36"/>
    <mergeCell ref="F37:G37"/>
    <mergeCell ref="F39:G39"/>
    <mergeCell ref="F40:G40"/>
    <mergeCell ref="O109:U109"/>
    <mergeCell ref="O110:U110"/>
    <mergeCell ref="P113:Q113"/>
    <mergeCell ref="T113:U113"/>
    <mergeCell ref="P114:Q114"/>
    <mergeCell ref="T114:U114"/>
    <mergeCell ref="T116:U116"/>
    <mergeCell ref="T119:U119"/>
    <mergeCell ref="T121:U121"/>
    <mergeCell ref="T123:U123"/>
    <mergeCell ref="T125:U125"/>
    <mergeCell ref="T127:U127"/>
    <mergeCell ref="T128:U128"/>
    <mergeCell ref="T131:U131"/>
    <mergeCell ref="T133:U133"/>
    <mergeCell ref="T134:U134"/>
    <mergeCell ref="T143:U143"/>
    <mergeCell ref="T135:U135"/>
    <mergeCell ref="T136:U136"/>
    <mergeCell ref="T138:U138"/>
    <mergeCell ref="T139:U139"/>
    <mergeCell ref="T140:U140"/>
    <mergeCell ref="T142:U142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H22"/>
  <sheetViews>
    <sheetView zoomScalePageLayoutView="0" workbookViewId="0" topLeftCell="A1">
      <selection activeCell="C7" sqref="C7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9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</v>
      </c>
      <c r="B3" s="7">
        <f>ROUND('계산서(아낌e보금자리(전자등기))'!$C$7*1%,-4)</f>
        <v>1680000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11</v>
      </c>
      <c r="B5" s="8">
        <f>H7</f>
        <v>1120</v>
      </c>
      <c r="C5" s="6"/>
      <c r="D5" s="6"/>
    </row>
    <row r="6" spans="1:8" ht="12" customHeight="1">
      <c r="A6" s="6"/>
      <c r="B6" s="9" t="s">
        <v>12</v>
      </c>
      <c r="C6" s="9" t="s">
        <v>13</v>
      </c>
      <c r="D6" s="10" t="s">
        <v>14</v>
      </c>
      <c r="E6" s="10" t="s">
        <v>15</v>
      </c>
      <c r="F6" s="9" t="s">
        <v>16</v>
      </c>
      <c r="G6" s="9" t="s">
        <v>17</v>
      </c>
      <c r="H6" s="9" t="s">
        <v>18</v>
      </c>
    </row>
    <row r="7" spans="1:8" ht="12" customHeight="1">
      <c r="A7" s="6"/>
      <c r="B7" s="11">
        <f>B3</f>
        <v>1680000</v>
      </c>
      <c r="C7" s="78">
        <v>0.0175</v>
      </c>
      <c r="D7" s="36">
        <f>'계산서(아낌e보금자리(전자등기))'!$D$9</f>
        <v>42415</v>
      </c>
      <c r="E7" s="12">
        <f>DATE(YEAR(D7),MONTH(D7)+1,0)</f>
        <v>42429</v>
      </c>
      <c r="F7" s="13">
        <f>E7-D7</f>
        <v>14</v>
      </c>
      <c r="G7" s="14">
        <f>B7*F7*C7/365</f>
        <v>1127.6712328767126</v>
      </c>
      <c r="H7" s="15">
        <f>ROUNDDOWN(G7,-1)</f>
        <v>1120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19</v>
      </c>
      <c r="B9" s="22">
        <f>F10+F11</f>
        <v>160</v>
      </c>
      <c r="C9" s="6"/>
      <c r="D9" s="6"/>
    </row>
    <row r="10" spans="1:6" ht="12" customHeight="1">
      <c r="A10" s="6"/>
      <c r="B10" s="9" t="s">
        <v>20</v>
      </c>
      <c r="C10" s="23">
        <v>0.14</v>
      </c>
      <c r="D10" s="24">
        <f>H7*C10</f>
        <v>156.8</v>
      </c>
      <c r="E10" s="9" t="s">
        <v>18</v>
      </c>
      <c r="F10" s="25">
        <f>ROUNDDOWN(D10,-1)</f>
        <v>150</v>
      </c>
    </row>
    <row r="11" spans="1:6" ht="12" customHeight="1">
      <c r="A11" s="6"/>
      <c r="B11" s="9" t="s">
        <v>21</v>
      </c>
      <c r="C11" s="26">
        <v>0.014</v>
      </c>
      <c r="D11" s="24">
        <f>C11*H7</f>
        <v>15.68</v>
      </c>
      <c r="E11" s="9" t="s">
        <v>18</v>
      </c>
      <c r="F11" s="25">
        <f>ROUNDDOWN(D11,-1)</f>
        <v>10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22</v>
      </c>
      <c r="B13" s="27">
        <f>IF('계산서(아낌e보금자리(전자등기))'!C7&lt;20000000,0,B15-C15+D15-E15+F15)</f>
        <v>26858</v>
      </c>
      <c r="C13" s="6"/>
      <c r="D13" s="6"/>
    </row>
    <row r="14" spans="1:8" ht="12" customHeight="1">
      <c r="A14" s="6"/>
      <c r="B14" s="9" t="s">
        <v>23</v>
      </c>
      <c r="C14" s="9" t="s">
        <v>24</v>
      </c>
      <c r="D14" s="9" t="s">
        <v>25</v>
      </c>
      <c r="E14" s="28" t="s">
        <v>26</v>
      </c>
      <c r="F14" s="28" t="s">
        <v>27</v>
      </c>
      <c r="H14" s="29" t="s">
        <v>28</v>
      </c>
    </row>
    <row r="15" spans="1:8" ht="12" customHeight="1">
      <c r="A15" s="6"/>
      <c r="B15" s="30">
        <f>B3</f>
        <v>1680000</v>
      </c>
      <c r="C15" s="30">
        <f>B5</f>
        <v>1120</v>
      </c>
      <c r="D15" s="30">
        <f>B9</f>
        <v>160</v>
      </c>
      <c r="E15" s="30">
        <f>B15*H15/10000</f>
        <v>1657152</v>
      </c>
      <c r="F15" s="30">
        <f>ROUNDDOWN(E15*0.3%,-1)</f>
        <v>4970</v>
      </c>
      <c r="H15" s="31">
        <f>'계산서(아낌e보금자리(전자등기))'!$G$13</f>
        <v>9864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W155"/>
  <sheetViews>
    <sheetView showRowColHeaders="0" showZeros="0" showOutlineSymbols="0" zoomScale="90" zoomScaleNormal="90" zoomScaleSheetLayoutView="100" zoomScalePageLayoutView="0" workbookViewId="0" topLeftCell="A1">
      <selection activeCell="E21" sqref="E21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210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">
        <v>128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">
      <c r="A3" s="37"/>
      <c r="B3" s="84" t="s">
        <v>38</v>
      </c>
      <c r="C3" s="85"/>
      <c r="D3" s="85"/>
      <c r="E3" s="86">
        <f ca="1">TODAY()</f>
        <v>43419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41" t="s">
        <v>62</v>
      </c>
      <c r="D5" s="142"/>
      <c r="E5" s="90" t="s">
        <v>5</v>
      </c>
      <c r="F5" s="143">
        <v>8001011234567</v>
      </c>
      <c r="G5" s="14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45" t="s">
        <v>39</v>
      </c>
      <c r="C6" s="146"/>
      <c r="D6" s="146"/>
      <c r="E6" s="146"/>
      <c r="F6" s="146"/>
      <c r="G6" s="146"/>
      <c r="H6" s="146"/>
      <c r="I6" s="14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41">
        <v>385000000</v>
      </c>
      <c r="D7" s="148"/>
      <c r="E7" s="90" t="s">
        <v>1</v>
      </c>
      <c r="F7" s="91"/>
      <c r="G7" s="149">
        <v>1</v>
      </c>
      <c r="H7" s="15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43409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8</v>
      </c>
      <c r="F13" s="91"/>
      <c r="G13" s="141">
        <v>9000</v>
      </c>
      <c r="H13" s="14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133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8"/>
      <c r="G16" s="138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19"/>
      <c r="G17" s="119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9">
        <f>'즉시매도(70)'!$B$13</f>
        <v>391480</v>
      </c>
      <c r="G18" s="140"/>
      <c r="H18" s="118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6">
        <f>F22+F28</f>
        <v>1295140</v>
      </c>
      <c r="G20" s="140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6">
        <f>SUM(F24:G25)</f>
        <v>924000</v>
      </c>
      <c r="G22" s="136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0">
        <f>C7*0.2%</f>
        <v>770000</v>
      </c>
      <c r="G24" s="130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0">
        <f>ROUNDDOWN(F24*20%,-1)</f>
        <v>154000</v>
      </c>
      <c r="G25" s="130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6">
        <f>F33+F37+F40</f>
        <v>371140</v>
      </c>
      <c r="G28" s="136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0">
        <f>G7*17400</f>
        <v>17400</v>
      </c>
      <c r="G30" s="130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20"/>
      <c r="G31" s="120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20"/>
      <c r="G32" s="120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29">
        <f>SUM(F30:G32)</f>
        <v>30800</v>
      </c>
      <c r="G33" s="129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0">
        <f>IF(C7&gt;0,100000,0)*0.7</f>
        <v>70000</v>
      </c>
      <c r="G35" s="130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0">
        <f>IF((C7)&lt;=10000000,0,(IF((C7)&lt;=50000000,((C7)-10000000)*11/10000,IF((C7)&lt;=100000000,((C7)-50000000)*10/10000+44000,IF((C7)&lt;=300000000,(((C7)-100000000)*9/10000)+94000,IF((C7)&lt;=500000000,(((C7)-300000000)*8/10000)+274000,IF((C7)&lt;=1000000000,(((C7)-500000000)*7/10000)+434000,IF((C7)&lt;=2000000000,(((C7)-1000000000)*5/10000)+784000,IF((C7)&lt;=20000000000,(((C7)-2000000000)*4/10000)+1284000,8484000+((C7-20000000000)*1/10000))))))))))*0.7</f>
        <v>239399.99999999997</v>
      </c>
      <c r="G36" s="130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29">
        <f>SUM(F35:G36)</f>
        <v>309400</v>
      </c>
      <c r="G37" s="129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129</v>
      </c>
      <c r="C39" s="102"/>
      <c r="D39" s="102"/>
      <c r="E39" s="102"/>
      <c r="F39" s="130">
        <f>ROUNDDOWN(F37*10%,-1)</f>
        <v>30940</v>
      </c>
      <c r="G39" s="130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29">
        <f>F39</f>
        <v>30940</v>
      </c>
      <c r="G40" s="129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5.17 / Last Updated '18.11)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1" t="s">
        <v>106</v>
      </c>
      <c r="P109" s="131"/>
      <c r="Q109" s="131"/>
      <c r="R109" s="131"/>
      <c r="S109" s="131"/>
      <c r="T109" s="131"/>
      <c r="U109" s="131"/>
      <c r="V109" s="47"/>
      <c r="W109" s="45"/>
    </row>
    <row r="110" spans="13:23" ht="14.25">
      <c r="M110" s="45"/>
      <c r="N110" s="45"/>
      <c r="O110" s="132">
        <f>E3</f>
        <v>43419</v>
      </c>
      <c r="P110" s="133"/>
      <c r="Q110" s="133"/>
      <c r="R110" s="133"/>
      <c r="S110" s="133"/>
      <c r="T110" s="133"/>
      <c r="U110" s="133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34" t="str">
        <f>C5</f>
        <v>김하나</v>
      </c>
      <c r="Q113" s="134"/>
      <c r="R113" s="51" t="s">
        <v>5</v>
      </c>
      <c r="S113" s="52"/>
      <c r="T113" s="135">
        <f>F5</f>
        <v>8001011234567</v>
      </c>
      <c r="U113" s="135"/>
      <c r="V113" s="53"/>
      <c r="W113" s="45"/>
    </row>
    <row r="114" spans="13:23" ht="14.25">
      <c r="M114" s="45"/>
      <c r="N114" s="54"/>
      <c r="O114" s="55" t="s">
        <v>6</v>
      </c>
      <c r="P114" s="124">
        <f>C7</f>
        <v>385000000</v>
      </c>
      <c r="Q114" s="124"/>
      <c r="R114" s="55" t="s">
        <v>1</v>
      </c>
      <c r="S114" s="56"/>
      <c r="T114" s="125">
        <f>G7</f>
        <v>1</v>
      </c>
      <c r="U114" s="125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43409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26">
        <f>G13</f>
        <v>9000</v>
      </c>
      <c r="U116" s="126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27"/>
      <c r="U119" s="127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22">
        <f>F18</f>
        <v>391480</v>
      </c>
      <c r="U121" s="12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23">
        <f>T125+T131</f>
        <v>1295140</v>
      </c>
      <c r="U123" s="12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23">
        <f>SUM(T127:U128)</f>
        <v>924000</v>
      </c>
      <c r="U125" s="123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22">
        <f>F24</f>
        <v>770000</v>
      </c>
      <c r="U127" s="122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22">
        <f>F25</f>
        <v>154000</v>
      </c>
      <c r="U128" s="122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23">
        <f>T136+T140+T143</f>
        <v>371140</v>
      </c>
      <c r="U131" s="123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22">
        <f>F30</f>
        <v>17400</v>
      </c>
      <c r="U133" s="122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22">
        <f>G31</f>
        <v>12200</v>
      </c>
      <c r="U134" s="122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22">
        <f>G32</f>
        <v>1200</v>
      </c>
      <c r="U135" s="122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21">
        <f>SUM(T133:U135)</f>
        <v>30800</v>
      </c>
      <c r="U136" s="121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58</v>
      </c>
      <c r="P138" s="56"/>
      <c r="Q138" s="56"/>
      <c r="R138" s="56"/>
      <c r="S138" s="56"/>
      <c r="T138" s="122">
        <f>F35</f>
        <v>70000</v>
      </c>
      <c r="U138" s="122"/>
      <c r="V138" s="72"/>
      <c r="W138" s="47"/>
    </row>
    <row r="139" spans="13:23" ht="14.25">
      <c r="M139" s="45"/>
      <c r="N139" s="45"/>
      <c r="O139" s="56" t="s">
        <v>59</v>
      </c>
      <c r="P139" s="56"/>
      <c r="Q139" s="56"/>
      <c r="R139" s="56"/>
      <c r="S139" s="56"/>
      <c r="T139" s="122">
        <f>F36</f>
        <v>239399.99999999997</v>
      </c>
      <c r="U139" s="122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21">
        <f>SUM(T138:U139)</f>
        <v>309400</v>
      </c>
      <c r="U140" s="121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60</v>
      </c>
      <c r="P142" s="56"/>
      <c r="Q142" s="56"/>
      <c r="R142" s="56"/>
      <c r="S142" s="56"/>
      <c r="T142" s="122">
        <f>ROUNDDOWN(T140*10%,-1)</f>
        <v>30940</v>
      </c>
      <c r="U142" s="122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21">
        <f>T142</f>
        <v>30940</v>
      </c>
      <c r="U143" s="121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C5:D5"/>
    <mergeCell ref="F5:G5"/>
    <mergeCell ref="B6:I6"/>
    <mergeCell ref="C7:D7"/>
    <mergeCell ref="G7:H7"/>
    <mergeCell ref="G13:H13"/>
    <mergeCell ref="F16:G16"/>
    <mergeCell ref="F18:G18"/>
    <mergeCell ref="F20:G20"/>
    <mergeCell ref="F22:G22"/>
    <mergeCell ref="F24:G24"/>
    <mergeCell ref="F25:G25"/>
    <mergeCell ref="F28:G28"/>
    <mergeCell ref="F30:G30"/>
    <mergeCell ref="F33:G33"/>
    <mergeCell ref="B35:B36"/>
    <mergeCell ref="F35:G35"/>
    <mergeCell ref="F36:G36"/>
    <mergeCell ref="F37:G37"/>
    <mergeCell ref="F39:G39"/>
    <mergeCell ref="F40:G40"/>
    <mergeCell ref="O109:U109"/>
    <mergeCell ref="O110:U110"/>
    <mergeCell ref="P113:Q113"/>
    <mergeCell ref="T113:U113"/>
    <mergeCell ref="P114:Q114"/>
    <mergeCell ref="T114:U114"/>
    <mergeCell ref="T116:U116"/>
    <mergeCell ref="T119:U119"/>
    <mergeCell ref="T121:U121"/>
    <mergeCell ref="T123:U123"/>
    <mergeCell ref="T125:U125"/>
    <mergeCell ref="T127:U127"/>
    <mergeCell ref="T128:U128"/>
    <mergeCell ref="T131:U131"/>
    <mergeCell ref="T133:U133"/>
    <mergeCell ref="T134:U134"/>
    <mergeCell ref="T143:U143"/>
    <mergeCell ref="T135:U135"/>
    <mergeCell ref="T136:U136"/>
    <mergeCell ref="T138:U138"/>
    <mergeCell ref="T139:U139"/>
    <mergeCell ref="T140:U140"/>
    <mergeCell ref="T142:U142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155"/>
  <sheetViews>
    <sheetView showZeros="0" showOutlineSymbols="0" zoomScale="90" zoomScaleNormal="90" zoomScaleSheetLayoutView="100" zoomScalePageLayoutView="0" workbookViewId="0" topLeftCell="A1">
      <selection activeCell="B35" sqref="B35:B36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210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">
        <v>130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">
      <c r="A3" s="37"/>
      <c r="B3" s="84" t="s">
        <v>38</v>
      </c>
      <c r="C3" s="85"/>
      <c r="D3" s="85"/>
      <c r="E3" s="86">
        <f ca="1">TODAY()</f>
        <v>43419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41" t="s">
        <v>62</v>
      </c>
      <c r="D5" s="142"/>
      <c r="E5" s="90" t="s">
        <v>5</v>
      </c>
      <c r="F5" s="143">
        <v>8001011234567</v>
      </c>
      <c r="G5" s="14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45" t="s">
        <v>39</v>
      </c>
      <c r="C6" s="146"/>
      <c r="D6" s="146"/>
      <c r="E6" s="146"/>
      <c r="F6" s="146"/>
      <c r="G6" s="146"/>
      <c r="H6" s="146"/>
      <c r="I6" s="14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41">
        <v>385000000</v>
      </c>
      <c r="D7" s="148"/>
      <c r="E7" s="90" t="s">
        <v>1</v>
      </c>
      <c r="F7" s="91"/>
      <c r="G7" s="149">
        <v>1</v>
      </c>
      <c r="H7" s="15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43409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8</v>
      </c>
      <c r="F13" s="91"/>
      <c r="G13" s="141">
        <v>8944</v>
      </c>
      <c r="H13" s="14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133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8"/>
      <c r="G16" s="138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04"/>
      <c r="G17" s="104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9">
        <f>즉시매도본점!$B$13</f>
        <v>412980</v>
      </c>
      <c r="G18" s="140"/>
      <c r="H18" s="105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6">
        <f>F22+F28</f>
        <v>1258400</v>
      </c>
      <c r="G20" s="140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6">
        <f>SUM(F24:G25)</f>
        <v>924000</v>
      </c>
      <c r="G22" s="136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0">
        <f>C7*0.2%</f>
        <v>770000</v>
      </c>
      <c r="G24" s="130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0">
        <f>ROUNDDOWN(F24*20%,-1)</f>
        <v>154000</v>
      </c>
      <c r="G25" s="130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6">
        <f>F33+F37+F40</f>
        <v>334400</v>
      </c>
      <c r="G28" s="136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0">
        <f>G7*17400</f>
        <v>17400</v>
      </c>
      <c r="G30" s="130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13"/>
      <c r="G31" s="113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13"/>
      <c r="G32" s="113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29">
        <f>SUM(F30:G32)</f>
        <v>30800</v>
      </c>
      <c r="G33" s="129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0">
        <f>IF(C7&gt;0,100000,0)*0.85</f>
        <v>85000</v>
      </c>
      <c r="G35" s="130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0">
        <f>IF((C7)&lt;=10000000,0,(IF((C7)&lt;=50000000,((C7)-10000000)*11/10000,IF((C7)&lt;=100000000,((C7)-50000000)*10/10000+44000,IF((C7)&lt;=300000000,(((C7)-100000000)*9/10000)+94000,IF((C7)&lt;=500000000,(((C7)-300000000)*8/10000)+274000,IF((C7)&lt;=1000000000,(((C7)-500000000)*7/10000)+434000,IF((C7)&lt;=2000000000,(((C7)-1000000000)*5/10000)+784000,IF((C7)&lt;=20000000000,(((C7)-2000000000)*4/10000)+1284000,8484000+((C7-20000000000)*1/10000))))))))))*0.5+IF((C7)&lt;=50000000,0,20000)</f>
        <v>191000</v>
      </c>
      <c r="G36" s="130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29">
        <f>SUM(F35:G36)</f>
        <v>276000</v>
      </c>
      <c r="G37" s="129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134</v>
      </c>
      <c r="C39" s="102"/>
      <c r="D39" s="102"/>
      <c r="E39" s="102"/>
      <c r="F39" s="130">
        <f>ROUNDDOWN(F37*10%,-1)</f>
        <v>27600</v>
      </c>
      <c r="G39" s="130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29">
        <f>F39</f>
        <v>27600</v>
      </c>
      <c r="G40" s="129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5.17 / Last Updated '18.11)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1" t="s">
        <v>106</v>
      </c>
      <c r="P109" s="131"/>
      <c r="Q109" s="131"/>
      <c r="R109" s="131"/>
      <c r="S109" s="131"/>
      <c r="T109" s="131"/>
      <c r="U109" s="131"/>
      <c r="V109" s="47"/>
      <c r="W109" s="45"/>
    </row>
    <row r="110" spans="13:23" ht="14.25">
      <c r="M110" s="45"/>
      <c r="N110" s="45"/>
      <c r="O110" s="132">
        <f>E3</f>
        <v>43419</v>
      </c>
      <c r="P110" s="133"/>
      <c r="Q110" s="133"/>
      <c r="R110" s="133"/>
      <c r="S110" s="133"/>
      <c r="T110" s="133"/>
      <c r="U110" s="133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34" t="str">
        <f>C5</f>
        <v>김하나</v>
      </c>
      <c r="Q113" s="134"/>
      <c r="R113" s="51" t="s">
        <v>5</v>
      </c>
      <c r="S113" s="52"/>
      <c r="T113" s="135">
        <f>F5</f>
        <v>8001011234567</v>
      </c>
      <c r="U113" s="135"/>
      <c r="V113" s="53"/>
      <c r="W113" s="45"/>
    </row>
    <row r="114" spans="13:23" ht="14.25">
      <c r="M114" s="45"/>
      <c r="N114" s="54"/>
      <c r="O114" s="55" t="s">
        <v>6</v>
      </c>
      <c r="P114" s="124">
        <f>C7</f>
        <v>385000000</v>
      </c>
      <c r="Q114" s="124"/>
      <c r="R114" s="55" t="s">
        <v>1</v>
      </c>
      <c r="S114" s="56"/>
      <c r="T114" s="125">
        <f>G7</f>
        <v>1</v>
      </c>
      <c r="U114" s="125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43409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26">
        <f>G13</f>
        <v>8944</v>
      </c>
      <c r="U116" s="126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27"/>
      <c r="U119" s="127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22">
        <f>F18</f>
        <v>412980</v>
      </c>
      <c r="U121" s="12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23">
        <f>T125+T131</f>
        <v>1258400</v>
      </c>
      <c r="U123" s="12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23">
        <f>SUM(T127:U128)</f>
        <v>924000</v>
      </c>
      <c r="U125" s="123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22">
        <f>F24</f>
        <v>770000</v>
      </c>
      <c r="U127" s="122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22">
        <f>F25</f>
        <v>154000</v>
      </c>
      <c r="U128" s="122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23">
        <f>T136+T140+T143</f>
        <v>334400</v>
      </c>
      <c r="U131" s="123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22">
        <f>F30</f>
        <v>17400</v>
      </c>
      <c r="U133" s="122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22">
        <f>G31</f>
        <v>12200</v>
      </c>
      <c r="U134" s="122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22">
        <f>G32</f>
        <v>1200</v>
      </c>
      <c r="U135" s="122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21">
        <f>SUM(T133:U135)</f>
        <v>30800</v>
      </c>
      <c r="U136" s="121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58</v>
      </c>
      <c r="P138" s="56"/>
      <c r="Q138" s="56"/>
      <c r="R138" s="56"/>
      <c r="S138" s="56"/>
      <c r="T138" s="122">
        <f>F35</f>
        <v>85000</v>
      </c>
      <c r="U138" s="122"/>
      <c r="V138" s="72"/>
      <c r="W138" s="47"/>
    </row>
    <row r="139" spans="13:23" ht="14.25">
      <c r="M139" s="45"/>
      <c r="N139" s="45"/>
      <c r="O139" s="56" t="s">
        <v>59</v>
      </c>
      <c r="P139" s="56"/>
      <c r="Q139" s="56"/>
      <c r="R139" s="56"/>
      <c r="S139" s="56"/>
      <c r="T139" s="122">
        <f>F36</f>
        <v>191000</v>
      </c>
      <c r="U139" s="122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21">
        <f>SUM(T138:U139)</f>
        <v>276000</v>
      </c>
      <c r="U140" s="121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60</v>
      </c>
      <c r="P142" s="56"/>
      <c r="Q142" s="56"/>
      <c r="R142" s="56"/>
      <c r="S142" s="56"/>
      <c r="T142" s="122">
        <f>ROUNDDOWN(T140*10%,-1)</f>
        <v>27600</v>
      </c>
      <c r="U142" s="122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21">
        <f>T142</f>
        <v>27600</v>
      </c>
      <c r="U143" s="121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C5:D5"/>
    <mergeCell ref="F5:G5"/>
    <mergeCell ref="B6:I6"/>
    <mergeCell ref="C7:D7"/>
    <mergeCell ref="G7:H7"/>
    <mergeCell ref="F22:G22"/>
    <mergeCell ref="F18:G18"/>
    <mergeCell ref="F20:G20"/>
    <mergeCell ref="G13:H13"/>
    <mergeCell ref="F16:G16"/>
    <mergeCell ref="F39:G39"/>
    <mergeCell ref="F37:G37"/>
    <mergeCell ref="F33:G33"/>
    <mergeCell ref="F30:G30"/>
    <mergeCell ref="F40:G40"/>
    <mergeCell ref="F28:G28"/>
    <mergeCell ref="F35:G35"/>
    <mergeCell ref="T123:U123"/>
    <mergeCell ref="P113:Q113"/>
    <mergeCell ref="F24:G24"/>
    <mergeCell ref="F25:G25"/>
    <mergeCell ref="F36:G36"/>
    <mergeCell ref="O109:U109"/>
    <mergeCell ref="O110:U110"/>
    <mergeCell ref="T140:U140"/>
    <mergeCell ref="T142:U142"/>
    <mergeCell ref="T128:U128"/>
    <mergeCell ref="T131:U131"/>
    <mergeCell ref="P114:Q114"/>
    <mergeCell ref="T119:U119"/>
    <mergeCell ref="T135:U135"/>
    <mergeCell ref="T121:U121"/>
    <mergeCell ref="T134:U134"/>
    <mergeCell ref="T127:U127"/>
    <mergeCell ref="B35:B36"/>
    <mergeCell ref="T143:U143"/>
    <mergeCell ref="T113:U113"/>
    <mergeCell ref="T114:U114"/>
    <mergeCell ref="T116:U116"/>
    <mergeCell ref="T133:U133"/>
    <mergeCell ref="T136:U136"/>
    <mergeCell ref="T138:U138"/>
    <mergeCell ref="T139:U139"/>
    <mergeCell ref="T125:U125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155"/>
  <sheetViews>
    <sheetView showZeros="0" showOutlineSymbols="0" zoomScale="90" zoomScaleNormal="90" zoomScaleSheetLayoutView="100" zoomScalePageLayoutView="0" workbookViewId="0" topLeftCell="A1">
      <selection activeCell="M20" sqref="M20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195.75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">
        <v>131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">
      <c r="A3" s="37"/>
      <c r="B3" s="84" t="s">
        <v>38</v>
      </c>
      <c r="C3" s="85"/>
      <c r="D3" s="85"/>
      <c r="E3" s="86">
        <f ca="1">TODAY()</f>
        <v>43419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4</v>
      </c>
      <c r="C5" s="141" t="s">
        <v>62</v>
      </c>
      <c r="D5" s="142"/>
      <c r="E5" s="90" t="s">
        <v>5</v>
      </c>
      <c r="F5" s="143">
        <v>8001011234567</v>
      </c>
      <c r="G5" s="14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45" t="s">
        <v>39</v>
      </c>
      <c r="C6" s="146"/>
      <c r="D6" s="146"/>
      <c r="E6" s="146"/>
      <c r="F6" s="146"/>
      <c r="G6" s="146"/>
      <c r="H6" s="146"/>
      <c r="I6" s="14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</v>
      </c>
      <c r="C7" s="141">
        <v>168000000</v>
      </c>
      <c r="D7" s="148"/>
      <c r="E7" s="90" t="s">
        <v>1</v>
      </c>
      <c r="F7" s="91"/>
      <c r="G7" s="149">
        <v>1</v>
      </c>
      <c r="H7" s="15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</v>
      </c>
      <c r="C9" s="91"/>
      <c r="D9" s="79">
        <v>42415</v>
      </c>
      <c r="E9" s="90" t="s">
        <v>40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29</v>
      </c>
      <c r="C11" s="91"/>
      <c r="D11" s="91"/>
      <c r="E11" s="90" t="s">
        <v>41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8</v>
      </c>
      <c r="F13" s="91"/>
      <c r="G13" s="141">
        <v>9864</v>
      </c>
      <c r="H13" s="14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133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8"/>
      <c r="G16" s="138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04"/>
      <c r="G17" s="104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48</v>
      </c>
      <c r="C18" s="102"/>
      <c r="D18" s="102"/>
      <c r="E18" s="102"/>
      <c r="F18" s="139">
        <f>즉시매도모기지원!$B$13</f>
        <v>26858</v>
      </c>
      <c r="G18" s="140"/>
      <c r="H18" s="105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47</v>
      </c>
      <c r="C20" s="102"/>
      <c r="D20" s="102"/>
      <c r="E20" s="102"/>
      <c r="F20" s="136">
        <f>F22+F28</f>
        <v>628170</v>
      </c>
      <c r="G20" s="140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30</v>
      </c>
      <c r="C22" s="102"/>
      <c r="D22" s="102"/>
      <c r="E22" s="102"/>
      <c r="F22" s="136">
        <f>SUM(F24:G25)</f>
        <v>403200</v>
      </c>
      <c r="G22" s="136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31</v>
      </c>
      <c r="C24" s="102"/>
      <c r="D24" s="102"/>
      <c r="E24" s="102"/>
      <c r="F24" s="130">
        <f>C7*0.2%</f>
        <v>336000</v>
      </c>
      <c r="G24" s="130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32</v>
      </c>
      <c r="C25" s="102"/>
      <c r="D25" s="102"/>
      <c r="E25" s="102"/>
      <c r="F25" s="130">
        <f>ROUNDDOWN(F24*20%,-1)</f>
        <v>67200</v>
      </c>
      <c r="G25" s="130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33</v>
      </c>
      <c r="C28" s="102"/>
      <c r="D28" s="102"/>
      <c r="E28" s="102"/>
      <c r="F28" s="136">
        <f>F33+F37+F40</f>
        <v>224970</v>
      </c>
      <c r="G28" s="136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34</v>
      </c>
      <c r="C30" s="102"/>
      <c r="D30" s="102"/>
      <c r="E30" s="102"/>
      <c r="F30" s="130">
        <f>G7*11700</f>
        <v>11700</v>
      </c>
      <c r="G30" s="130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35</v>
      </c>
      <c r="C31" s="102"/>
      <c r="D31" s="102"/>
      <c r="E31" s="102"/>
      <c r="F31" s="113"/>
      <c r="G31" s="113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36</v>
      </c>
      <c r="C32" s="102"/>
      <c r="D32" s="102"/>
      <c r="E32" s="102"/>
      <c r="F32" s="113"/>
      <c r="G32" s="113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0</v>
      </c>
      <c r="D33" s="114"/>
      <c r="E33" s="114"/>
      <c r="F33" s="129">
        <f>SUM(F30:G32)</f>
        <v>25100</v>
      </c>
      <c r="G33" s="129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37</v>
      </c>
      <c r="C35" s="102"/>
      <c r="D35" s="102"/>
      <c r="E35" s="102"/>
      <c r="F35" s="130">
        <f>IF(C7&gt;0,100000,0)</f>
        <v>100000</v>
      </c>
      <c r="G35" s="130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0">
        <f>IF((C7)&lt;=10000000,"0",IF((C7)&lt;=50000000,((C7)-10000000)*10/10000,IF((C7)&lt;=100000000,((C7)-50000000)*9/10000+40000,IF((C7)&lt;=300000000,(((C7)-100000000)*8/10000)+85000,IF((C7)&lt;=500000000,(((C7)-300000000)*7/10000)+245000,IF((C7)&lt;=1000000000,(((C7)-500000000)*6/10000)+385000,IF((C7)&lt;=2000000000,(((C7)-1000000000)*5/10000)+685000,IF((C7)&lt;=20000000000,(((C7)-2000000000)*4/10000)+1185000,8385000+((C7-20000000000)*1/10000)))))))))*0.5+IF((C7)&lt;=50000000,0,12000)</f>
        <v>81700</v>
      </c>
      <c r="G36" s="130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2</v>
      </c>
      <c r="D37" s="114"/>
      <c r="E37" s="114"/>
      <c r="F37" s="129">
        <f>SUM(F35:G36)</f>
        <v>181700</v>
      </c>
      <c r="G37" s="129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135</v>
      </c>
      <c r="C39" s="102"/>
      <c r="D39" s="102"/>
      <c r="E39" s="102"/>
      <c r="F39" s="130">
        <f>ROUNDDOWN(F37*10%,-1)</f>
        <v>18170</v>
      </c>
      <c r="G39" s="130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3</v>
      </c>
      <c r="D40" s="114"/>
      <c r="E40" s="114"/>
      <c r="F40" s="129">
        <f>F39</f>
        <v>18170</v>
      </c>
      <c r="G40" s="129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5.17 / Last Updated '18.11)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1" t="s">
        <v>107</v>
      </c>
      <c r="P109" s="131"/>
      <c r="Q109" s="131"/>
      <c r="R109" s="131"/>
      <c r="S109" s="131"/>
      <c r="T109" s="131"/>
      <c r="U109" s="131"/>
      <c r="V109" s="47"/>
      <c r="W109" s="45"/>
    </row>
    <row r="110" spans="13:23" ht="14.25">
      <c r="M110" s="45"/>
      <c r="N110" s="45"/>
      <c r="O110" s="132">
        <f>E3</f>
        <v>43419</v>
      </c>
      <c r="P110" s="133"/>
      <c r="Q110" s="133"/>
      <c r="R110" s="133"/>
      <c r="S110" s="133"/>
      <c r="T110" s="133"/>
      <c r="U110" s="133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4</v>
      </c>
      <c r="P113" s="134" t="str">
        <f>C5</f>
        <v>김하나</v>
      </c>
      <c r="Q113" s="134"/>
      <c r="R113" s="51" t="s">
        <v>5</v>
      </c>
      <c r="S113" s="52"/>
      <c r="T113" s="135">
        <f>F5</f>
        <v>8001011234567</v>
      </c>
      <c r="U113" s="135"/>
      <c r="V113" s="53"/>
      <c r="W113" s="45"/>
    </row>
    <row r="114" spans="13:23" ht="14.25">
      <c r="M114" s="45"/>
      <c r="N114" s="54"/>
      <c r="O114" s="55" t="s">
        <v>6</v>
      </c>
      <c r="P114" s="124">
        <f>C7</f>
        <v>168000000</v>
      </c>
      <c r="Q114" s="124"/>
      <c r="R114" s="55" t="s">
        <v>1</v>
      </c>
      <c r="S114" s="56"/>
      <c r="T114" s="125">
        <f>G7</f>
        <v>1</v>
      </c>
      <c r="U114" s="125"/>
      <c r="V114" s="57"/>
      <c r="W114" s="45"/>
    </row>
    <row r="115" spans="13:23" ht="14.25">
      <c r="M115" s="45"/>
      <c r="N115" s="54"/>
      <c r="O115" s="55" t="s">
        <v>7</v>
      </c>
      <c r="P115" s="58"/>
      <c r="Q115" s="59">
        <f>D9</f>
        <v>42415</v>
      </c>
      <c r="R115" s="55" t="s">
        <v>42</v>
      </c>
      <c r="S115" s="56"/>
      <c r="T115" s="55" t="s">
        <v>41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8</v>
      </c>
      <c r="S116" s="62"/>
      <c r="T116" s="126">
        <f>G13</f>
        <v>9864</v>
      </c>
      <c r="U116" s="126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27"/>
      <c r="U119" s="127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49</v>
      </c>
      <c r="P121" s="56"/>
      <c r="Q121" s="56"/>
      <c r="R121" s="56"/>
      <c r="S121" s="56"/>
      <c r="T121" s="122">
        <f>F18</f>
        <v>26858</v>
      </c>
      <c r="U121" s="12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50</v>
      </c>
      <c r="P123" s="56"/>
      <c r="Q123" s="56"/>
      <c r="R123" s="56"/>
      <c r="S123" s="56"/>
      <c r="T123" s="123">
        <f>T125+T131</f>
        <v>588170</v>
      </c>
      <c r="U123" s="12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51</v>
      </c>
      <c r="P125" s="56"/>
      <c r="Q125" s="56"/>
      <c r="R125" s="56"/>
      <c r="S125" s="56"/>
      <c r="T125" s="123">
        <f>SUM(T127:U128)</f>
        <v>403200</v>
      </c>
      <c r="U125" s="123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52</v>
      </c>
      <c r="P127" s="56"/>
      <c r="Q127" s="56"/>
      <c r="R127" s="56"/>
      <c r="S127" s="56"/>
      <c r="T127" s="122">
        <f>F24</f>
        <v>336000</v>
      </c>
      <c r="U127" s="122"/>
      <c r="V127" s="69"/>
      <c r="W127" s="47"/>
    </row>
    <row r="128" spans="13:23" ht="14.25">
      <c r="M128" s="45"/>
      <c r="N128" s="45"/>
      <c r="O128" s="56" t="s">
        <v>53</v>
      </c>
      <c r="P128" s="56"/>
      <c r="Q128" s="56"/>
      <c r="R128" s="56"/>
      <c r="S128" s="56"/>
      <c r="T128" s="122">
        <f>F25</f>
        <v>67200</v>
      </c>
      <c r="U128" s="122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54</v>
      </c>
      <c r="P131" s="56"/>
      <c r="Q131" s="56"/>
      <c r="R131" s="56"/>
      <c r="S131" s="56"/>
      <c r="T131" s="123">
        <f>T136+T140+T143</f>
        <v>184970</v>
      </c>
      <c r="U131" s="123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55</v>
      </c>
      <c r="P133" s="56"/>
      <c r="Q133" s="56"/>
      <c r="R133" s="56"/>
      <c r="S133" s="56"/>
      <c r="T133" s="122">
        <f>F30</f>
        <v>11700</v>
      </c>
      <c r="U133" s="122"/>
      <c r="V133" s="72"/>
      <c r="W133" s="47"/>
    </row>
    <row r="134" spans="13:23" ht="14.25">
      <c r="M134" s="45"/>
      <c r="N134" s="45"/>
      <c r="O134" s="56" t="s">
        <v>56</v>
      </c>
      <c r="P134" s="56"/>
      <c r="Q134" s="56"/>
      <c r="R134" s="56"/>
      <c r="S134" s="56"/>
      <c r="T134" s="122">
        <f>G31</f>
        <v>12200</v>
      </c>
      <c r="U134" s="122"/>
      <c r="V134" s="72"/>
      <c r="W134" s="47"/>
    </row>
    <row r="135" spans="13:23" ht="14.25">
      <c r="M135" s="45"/>
      <c r="N135" s="45"/>
      <c r="O135" s="56" t="s">
        <v>57</v>
      </c>
      <c r="P135" s="56"/>
      <c r="Q135" s="56"/>
      <c r="R135" s="56"/>
      <c r="S135" s="56"/>
      <c r="T135" s="122">
        <f>G32</f>
        <v>1200</v>
      </c>
      <c r="U135" s="122"/>
      <c r="V135" s="72"/>
      <c r="W135" s="47"/>
    </row>
    <row r="136" spans="13:23" ht="14.25">
      <c r="M136" s="45"/>
      <c r="N136" s="45"/>
      <c r="O136" s="56"/>
      <c r="P136" s="56" t="s">
        <v>43</v>
      </c>
      <c r="Q136" s="56"/>
      <c r="R136" s="56"/>
      <c r="S136" s="56"/>
      <c r="T136" s="121">
        <f>SUM(T133:U135)</f>
        <v>25100</v>
      </c>
      <c r="U136" s="121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58</v>
      </c>
      <c r="P138" s="56"/>
      <c r="Q138" s="56"/>
      <c r="R138" s="56"/>
      <c r="S138" s="56"/>
      <c r="T138" s="122">
        <f>IF(P114&gt;0,60000,0)</f>
        <v>60000</v>
      </c>
      <c r="U138" s="122"/>
      <c r="V138" s="72"/>
      <c r="W138" s="47"/>
    </row>
    <row r="139" spans="13:23" ht="14.25">
      <c r="M139" s="45"/>
      <c r="N139" s="45"/>
      <c r="O139" s="56" t="s">
        <v>59</v>
      </c>
      <c r="P139" s="56"/>
      <c r="Q139" s="56"/>
      <c r="R139" s="56"/>
      <c r="S139" s="56"/>
      <c r="T139" s="122">
        <f>F36</f>
        <v>81700</v>
      </c>
      <c r="U139" s="122"/>
      <c r="V139" s="56"/>
      <c r="W139" s="47"/>
    </row>
    <row r="140" spans="13:23" ht="14.25">
      <c r="M140" s="45"/>
      <c r="N140" s="45"/>
      <c r="O140" s="56"/>
      <c r="P140" s="56" t="s">
        <v>44</v>
      </c>
      <c r="Q140" s="56"/>
      <c r="R140" s="56"/>
      <c r="S140" s="56"/>
      <c r="T140" s="121">
        <f>SUM(T138:U139)</f>
        <v>141700</v>
      </c>
      <c r="U140" s="121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60</v>
      </c>
      <c r="P142" s="56"/>
      <c r="Q142" s="56"/>
      <c r="R142" s="56"/>
      <c r="S142" s="56"/>
      <c r="T142" s="122">
        <f>F39</f>
        <v>18170</v>
      </c>
      <c r="U142" s="122"/>
      <c r="V142" s="56"/>
      <c r="W142" s="47"/>
    </row>
    <row r="143" spans="13:23" ht="14.25">
      <c r="M143" s="45"/>
      <c r="N143" s="45"/>
      <c r="O143" s="65"/>
      <c r="P143" s="56" t="s">
        <v>45</v>
      </c>
      <c r="Q143" s="56"/>
      <c r="R143" s="56"/>
      <c r="S143" s="56"/>
      <c r="T143" s="121">
        <f>T142</f>
        <v>18170</v>
      </c>
      <c r="U143" s="121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61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46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T131:U131"/>
    <mergeCell ref="T133:U133"/>
    <mergeCell ref="T134:U134"/>
    <mergeCell ref="T143:U143"/>
    <mergeCell ref="T135:U135"/>
    <mergeCell ref="T136:U136"/>
    <mergeCell ref="T138:U138"/>
    <mergeCell ref="T139:U139"/>
    <mergeCell ref="T140:U140"/>
    <mergeCell ref="T142:U142"/>
    <mergeCell ref="T119:U119"/>
    <mergeCell ref="T121:U121"/>
    <mergeCell ref="T123:U123"/>
    <mergeCell ref="T125:U125"/>
    <mergeCell ref="T127:U127"/>
    <mergeCell ref="T128:U128"/>
    <mergeCell ref="O110:U110"/>
    <mergeCell ref="P113:Q113"/>
    <mergeCell ref="T113:U113"/>
    <mergeCell ref="P114:Q114"/>
    <mergeCell ref="T114:U114"/>
    <mergeCell ref="T116:U116"/>
    <mergeCell ref="F35:G35"/>
    <mergeCell ref="F36:G36"/>
    <mergeCell ref="F37:G37"/>
    <mergeCell ref="F39:G39"/>
    <mergeCell ref="F40:G40"/>
    <mergeCell ref="O109:U109"/>
    <mergeCell ref="F22:G22"/>
    <mergeCell ref="F24:G24"/>
    <mergeCell ref="F25:G25"/>
    <mergeCell ref="F28:G28"/>
    <mergeCell ref="F30:G30"/>
    <mergeCell ref="F33:G33"/>
    <mergeCell ref="B35:B36"/>
    <mergeCell ref="C5:D5"/>
    <mergeCell ref="F5:G5"/>
    <mergeCell ref="B6:I6"/>
    <mergeCell ref="C7:D7"/>
    <mergeCell ref="G7:H7"/>
    <mergeCell ref="G13:H13"/>
    <mergeCell ref="F16:G16"/>
    <mergeCell ref="F18:G18"/>
    <mergeCell ref="F20:G20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55"/>
  <sheetViews>
    <sheetView showZeros="0" showOutlineSymbols="0" zoomScale="90" zoomScaleNormal="90" zoomScaleSheetLayoutView="100" zoomScalePageLayoutView="0" workbookViewId="0" topLeftCell="A1">
      <selection activeCell="R39" sqref="R39"/>
    </sheetView>
  </sheetViews>
  <sheetFormatPr defaultColWidth="8.88671875" defaultRowHeight="13.5"/>
  <cols>
    <col min="1" max="1" width="3.6640625" style="1" customWidth="1"/>
    <col min="2" max="2" width="10.99609375" style="1" customWidth="1"/>
    <col min="3" max="3" width="7.10546875" style="1" customWidth="1"/>
    <col min="4" max="4" width="11.3359375" style="1" customWidth="1"/>
    <col min="5" max="5" width="17.3359375" style="1" bestFit="1" customWidth="1"/>
    <col min="6" max="6" width="6.6640625" style="1" customWidth="1"/>
    <col min="7" max="7" width="9.21484375" style="1" bestFit="1" customWidth="1"/>
    <col min="8" max="8" width="0.78125" style="1" customWidth="1"/>
    <col min="9" max="9" width="0.88671875" style="1" customWidth="1"/>
    <col min="10" max="10" width="8.88671875" style="1" customWidth="1"/>
    <col min="11" max="11" width="9.5546875" style="1" hidden="1" customWidth="1"/>
    <col min="12" max="12" width="8.88671875" style="1" customWidth="1"/>
    <col min="13" max="13" width="1.66796875" style="1" customWidth="1"/>
    <col min="14" max="14" width="0.9921875" style="1" customWidth="1"/>
    <col min="15" max="15" width="10.4453125" style="2" customWidth="1"/>
    <col min="16" max="16" width="8.88671875" style="2" customWidth="1"/>
    <col min="17" max="17" width="12.10546875" style="2" customWidth="1"/>
    <col min="18" max="18" width="8.88671875" style="2" customWidth="1"/>
    <col min="19" max="19" width="6.5546875" style="2" customWidth="1"/>
    <col min="20" max="21" width="8.88671875" style="2" customWidth="1"/>
    <col min="22" max="22" width="1.66796875" style="2" customWidth="1"/>
    <col min="23" max="23" width="1.4375" style="1" customWidth="1"/>
    <col min="24" max="16384" width="8.88671875" style="1" customWidth="1"/>
  </cols>
  <sheetData>
    <row r="1" spans="1:22" ht="195.75" customHeight="1" thickBot="1">
      <c r="A1" s="37"/>
      <c r="B1" s="43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  <c r="V1" s="1"/>
    </row>
    <row r="2" spans="1:22" ht="14.25">
      <c r="A2" s="37"/>
      <c r="B2" s="81" t="s">
        <v>132</v>
      </c>
      <c r="C2" s="82"/>
      <c r="D2" s="82"/>
      <c r="E2" s="82"/>
      <c r="F2" s="82"/>
      <c r="G2" s="82"/>
      <c r="H2" s="82"/>
      <c r="I2" s="8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</row>
    <row r="3" spans="1:22" ht="15">
      <c r="A3" s="37"/>
      <c r="B3" s="84" t="s">
        <v>63</v>
      </c>
      <c r="C3" s="85"/>
      <c r="D3" s="85"/>
      <c r="E3" s="86">
        <f ca="1">TODAY()</f>
        <v>43419</v>
      </c>
      <c r="F3" s="85"/>
      <c r="G3" s="85"/>
      <c r="H3" s="85"/>
      <c r="I3" s="87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1"/>
      <c r="V3" s="1"/>
    </row>
    <row r="4" spans="1:22" ht="15" thickBot="1">
      <c r="A4" s="37"/>
      <c r="B4" s="88"/>
      <c r="C4" s="85"/>
      <c r="D4" s="85"/>
      <c r="E4" s="85"/>
      <c r="F4" s="85"/>
      <c r="G4" s="85"/>
      <c r="H4" s="85"/>
      <c r="I4" s="87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1"/>
      <c r="V4" s="1"/>
    </row>
    <row r="5" spans="1:22" ht="15" customHeight="1">
      <c r="A5" s="37"/>
      <c r="B5" s="89" t="s">
        <v>64</v>
      </c>
      <c r="C5" s="141" t="s">
        <v>65</v>
      </c>
      <c r="D5" s="142"/>
      <c r="E5" s="90" t="s">
        <v>66</v>
      </c>
      <c r="F5" s="143">
        <v>8001011234567</v>
      </c>
      <c r="G5" s="144"/>
      <c r="H5" s="91"/>
      <c r="I5" s="92"/>
      <c r="J5" s="39"/>
      <c r="K5" s="38"/>
      <c r="L5" s="38"/>
      <c r="M5" s="38"/>
      <c r="N5" s="38"/>
      <c r="O5" s="38"/>
      <c r="P5" s="38"/>
      <c r="Q5" s="38"/>
      <c r="R5" s="38"/>
      <c r="S5" s="38"/>
      <c r="T5" s="38"/>
      <c r="U5" s="1"/>
      <c r="V5" s="1"/>
    </row>
    <row r="6" spans="1:22" ht="7.5" customHeight="1" thickBot="1">
      <c r="A6" s="37"/>
      <c r="B6" s="145" t="s">
        <v>67</v>
      </c>
      <c r="C6" s="146"/>
      <c r="D6" s="146"/>
      <c r="E6" s="146"/>
      <c r="F6" s="146"/>
      <c r="G6" s="146"/>
      <c r="H6" s="146"/>
      <c r="I6" s="147"/>
      <c r="J6" s="39"/>
      <c r="K6" s="38"/>
      <c r="L6" s="38"/>
      <c r="M6" s="38"/>
      <c r="N6" s="38"/>
      <c r="O6" s="38"/>
      <c r="P6" s="38"/>
      <c r="Q6" s="38"/>
      <c r="R6" s="38"/>
      <c r="S6" s="38"/>
      <c r="T6" s="38"/>
      <c r="U6" s="1"/>
      <c r="V6" s="1"/>
    </row>
    <row r="7" spans="1:22" ht="15.75" customHeight="1">
      <c r="A7" s="37"/>
      <c r="B7" s="89" t="s">
        <v>68</v>
      </c>
      <c r="C7" s="141">
        <v>168000000</v>
      </c>
      <c r="D7" s="148"/>
      <c r="E7" s="90" t="s">
        <v>69</v>
      </c>
      <c r="F7" s="91"/>
      <c r="G7" s="149">
        <v>1</v>
      </c>
      <c r="H7" s="150"/>
      <c r="I7" s="92"/>
      <c r="J7" s="39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  <c r="V7" s="1"/>
    </row>
    <row r="8" spans="1:22" ht="5.25" customHeight="1" thickBot="1">
      <c r="A8" s="37"/>
      <c r="B8" s="89"/>
      <c r="C8" s="91"/>
      <c r="D8" s="91"/>
      <c r="E8" s="90"/>
      <c r="F8" s="91"/>
      <c r="G8" s="91"/>
      <c r="H8" s="91"/>
      <c r="I8" s="9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"/>
      <c r="V8" s="1"/>
    </row>
    <row r="9" spans="1:22" ht="15.75" customHeight="1">
      <c r="A9" s="37"/>
      <c r="B9" s="89" t="s">
        <v>70</v>
      </c>
      <c r="C9" s="91"/>
      <c r="D9" s="79">
        <v>42415</v>
      </c>
      <c r="E9" s="90" t="s">
        <v>71</v>
      </c>
      <c r="F9" s="117"/>
      <c r="G9" s="117" t="b">
        <v>1</v>
      </c>
      <c r="H9" s="93"/>
      <c r="I9" s="9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1"/>
      <c r="V9" s="1"/>
    </row>
    <row r="10" spans="1:22" ht="3" customHeight="1">
      <c r="A10" s="37"/>
      <c r="B10" s="89"/>
      <c r="C10" s="91"/>
      <c r="D10" s="91"/>
      <c r="E10" s="94"/>
      <c r="F10" s="117"/>
      <c r="G10" s="117"/>
      <c r="H10" s="93"/>
      <c r="I10" s="9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1"/>
      <c r="V10" s="1"/>
    </row>
    <row r="11" spans="1:22" ht="15.75" customHeight="1">
      <c r="A11" s="37"/>
      <c r="B11" s="95" t="s">
        <v>72</v>
      </c>
      <c r="C11" s="91"/>
      <c r="D11" s="91"/>
      <c r="E11" s="90" t="s">
        <v>73</v>
      </c>
      <c r="F11" s="117"/>
      <c r="G11" s="117" t="b">
        <v>1</v>
      </c>
      <c r="H11" s="93"/>
      <c r="I11" s="9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"/>
      <c r="V11" s="1"/>
    </row>
    <row r="12" spans="1:22" ht="3" customHeight="1" thickBot="1">
      <c r="A12" s="37"/>
      <c r="B12" s="89"/>
      <c r="C12" s="91"/>
      <c r="D12" s="91"/>
      <c r="E12" s="94"/>
      <c r="F12" s="91"/>
      <c r="G12" s="91"/>
      <c r="H12" s="91"/>
      <c r="I12" s="92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1"/>
      <c r="V12" s="1"/>
    </row>
    <row r="13" spans="1:22" ht="15.75" customHeight="1">
      <c r="A13" s="37"/>
      <c r="B13" s="89"/>
      <c r="C13" s="91"/>
      <c r="D13" s="96">
        <v>1</v>
      </c>
      <c r="E13" s="90" t="s">
        <v>74</v>
      </c>
      <c r="F13" s="91"/>
      <c r="G13" s="141">
        <v>9864</v>
      </c>
      <c r="H13" s="148"/>
      <c r="I13" s="92"/>
      <c r="J13" s="44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1"/>
      <c r="V13" s="1"/>
    </row>
    <row r="14" spans="1:22" ht="13.5" customHeight="1" thickBot="1">
      <c r="A14" s="37"/>
      <c r="B14" s="80"/>
      <c r="C14" s="97"/>
      <c r="D14" s="97"/>
      <c r="E14" s="98" t="s">
        <v>133</v>
      </c>
      <c r="F14" s="97"/>
      <c r="G14" s="97"/>
      <c r="H14" s="97"/>
      <c r="I14" s="9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"/>
      <c r="V14" s="1"/>
    </row>
    <row r="15" spans="1:22" ht="4.5" customHeight="1">
      <c r="A15" s="37"/>
      <c r="B15" s="100"/>
      <c r="C15" s="85"/>
      <c r="D15" s="85"/>
      <c r="E15" s="85"/>
      <c r="F15" s="85"/>
      <c r="G15" s="85"/>
      <c r="H15" s="85"/>
      <c r="I15" s="8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1"/>
      <c r="V15" s="1"/>
    </row>
    <row r="16" spans="1:22" ht="14.25">
      <c r="A16" s="37"/>
      <c r="B16" s="101"/>
      <c r="C16" s="102"/>
      <c r="D16" s="102"/>
      <c r="E16" s="102"/>
      <c r="F16" s="138"/>
      <c r="G16" s="138"/>
      <c r="H16" s="103"/>
      <c r="I16" s="8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1"/>
      <c r="V16" s="1"/>
    </row>
    <row r="17" spans="1:22" ht="6" customHeight="1">
      <c r="A17" s="37"/>
      <c r="B17" s="101"/>
      <c r="C17" s="102"/>
      <c r="D17" s="102"/>
      <c r="E17" s="102"/>
      <c r="F17" s="104"/>
      <c r="G17" s="104"/>
      <c r="H17" s="103"/>
      <c r="I17" s="8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"/>
      <c r="V17" s="1"/>
    </row>
    <row r="18" spans="1:22" ht="12" customHeight="1">
      <c r="A18" s="37"/>
      <c r="B18" s="101" t="s">
        <v>75</v>
      </c>
      <c r="C18" s="102"/>
      <c r="D18" s="102"/>
      <c r="E18" s="102"/>
      <c r="F18" s="139">
        <f>+즉시매도아낌e!B13</f>
        <v>26858</v>
      </c>
      <c r="G18" s="140"/>
      <c r="H18" s="105"/>
      <c r="I18" s="87"/>
      <c r="J18" s="38"/>
      <c r="K18" s="38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1"/>
      <c r="V18" s="1"/>
    </row>
    <row r="19" spans="1:22" ht="4.5" customHeight="1">
      <c r="A19" s="37"/>
      <c r="B19" s="106"/>
      <c r="C19" s="102"/>
      <c r="D19" s="102"/>
      <c r="E19" s="102"/>
      <c r="F19" s="107"/>
      <c r="G19" s="107"/>
      <c r="H19" s="108"/>
      <c r="I19" s="87"/>
      <c r="J19" s="38"/>
      <c r="K19" s="38">
        <v>2</v>
      </c>
      <c r="L19" s="38"/>
      <c r="M19" s="38"/>
      <c r="N19" s="38"/>
      <c r="O19" s="38"/>
      <c r="P19" s="38"/>
      <c r="Q19" s="38"/>
      <c r="R19" s="38"/>
      <c r="S19" s="38"/>
      <c r="T19" s="38"/>
      <c r="U19" s="1"/>
      <c r="V19" s="1"/>
    </row>
    <row r="20" spans="1:22" ht="15.75" customHeight="1">
      <c r="A20" s="37"/>
      <c r="B20" s="101" t="s">
        <v>76</v>
      </c>
      <c r="C20" s="102"/>
      <c r="D20" s="102"/>
      <c r="E20" s="102"/>
      <c r="F20" s="136">
        <f>F22+F28</f>
        <v>560300</v>
      </c>
      <c r="G20" s="140"/>
      <c r="H20" s="108"/>
      <c r="I20" s="87"/>
      <c r="J20" s="38"/>
      <c r="K20" s="38">
        <v>3</v>
      </c>
      <c r="L20" s="38"/>
      <c r="M20" s="38"/>
      <c r="N20" s="38"/>
      <c r="O20" s="38"/>
      <c r="P20" s="38"/>
      <c r="Q20" s="38"/>
      <c r="R20" s="38"/>
      <c r="S20" s="38"/>
      <c r="T20" s="38"/>
      <c r="U20" s="1"/>
      <c r="V20" s="1"/>
    </row>
    <row r="21" spans="1:22" ht="5.25" customHeight="1">
      <c r="A21" s="37"/>
      <c r="B21" s="101"/>
      <c r="C21" s="102"/>
      <c r="D21" s="102"/>
      <c r="E21" s="102"/>
      <c r="F21" s="107"/>
      <c r="G21" s="107"/>
      <c r="H21" s="108"/>
      <c r="I21" s="87"/>
      <c r="J21" s="38"/>
      <c r="K21" s="38">
        <v>4</v>
      </c>
      <c r="L21" s="38"/>
      <c r="M21" s="38"/>
      <c r="N21" s="38"/>
      <c r="O21" s="38"/>
      <c r="P21" s="38"/>
      <c r="Q21" s="38"/>
      <c r="R21" s="38"/>
      <c r="S21" s="38"/>
      <c r="T21" s="38"/>
      <c r="U21" s="1"/>
      <c r="V21" s="1"/>
    </row>
    <row r="22" spans="1:22" ht="14.25">
      <c r="A22" s="37"/>
      <c r="B22" s="101" t="s">
        <v>77</v>
      </c>
      <c r="C22" s="102"/>
      <c r="D22" s="102"/>
      <c r="E22" s="102"/>
      <c r="F22" s="136">
        <f>SUM(F24:G25)</f>
        <v>403200</v>
      </c>
      <c r="G22" s="136"/>
      <c r="H22" s="109"/>
      <c r="I22" s="87"/>
      <c r="J22" s="38"/>
      <c r="K22" s="38">
        <v>5</v>
      </c>
      <c r="L22" s="38"/>
      <c r="M22" s="38"/>
      <c r="N22" s="38"/>
      <c r="O22" s="38"/>
      <c r="P22" s="38"/>
      <c r="Q22" s="38"/>
      <c r="R22" s="38"/>
      <c r="S22" s="38"/>
      <c r="T22" s="38"/>
      <c r="U22" s="1"/>
      <c r="V22" s="1"/>
    </row>
    <row r="23" spans="1:22" ht="4.5" customHeight="1">
      <c r="A23" s="37"/>
      <c r="B23" s="101"/>
      <c r="C23" s="102"/>
      <c r="D23" s="102"/>
      <c r="E23" s="102"/>
      <c r="F23" s="107"/>
      <c r="G23" s="107"/>
      <c r="H23" s="110"/>
      <c r="I23" s="87"/>
      <c r="J23" s="38"/>
      <c r="K23" s="38">
        <v>6</v>
      </c>
      <c r="L23" s="38"/>
      <c r="M23" s="38"/>
      <c r="N23" s="38"/>
      <c r="O23" s="38"/>
      <c r="P23" s="38"/>
      <c r="Q23" s="38"/>
      <c r="R23" s="38"/>
      <c r="S23" s="38"/>
      <c r="T23" s="38"/>
      <c r="U23" s="1"/>
      <c r="V23" s="1"/>
    </row>
    <row r="24" spans="1:22" ht="14.25">
      <c r="A24" s="37"/>
      <c r="B24" s="111" t="s">
        <v>78</v>
      </c>
      <c r="C24" s="102"/>
      <c r="D24" s="102"/>
      <c r="E24" s="102"/>
      <c r="F24" s="130">
        <f>C7*0.2%</f>
        <v>336000</v>
      </c>
      <c r="G24" s="130"/>
      <c r="H24" s="108"/>
      <c r="I24" s="87"/>
      <c r="J24" s="38"/>
      <c r="K24" s="38">
        <v>7</v>
      </c>
      <c r="L24" s="38"/>
      <c r="M24" s="38"/>
      <c r="N24" s="38"/>
      <c r="O24" s="38"/>
      <c r="P24" s="38"/>
      <c r="Q24" s="38"/>
      <c r="R24" s="38"/>
      <c r="S24" s="38"/>
      <c r="T24" s="38"/>
      <c r="U24" s="1"/>
      <c r="V24" s="1"/>
    </row>
    <row r="25" spans="1:22" ht="14.25">
      <c r="A25" s="37"/>
      <c r="B25" s="106" t="s">
        <v>79</v>
      </c>
      <c r="C25" s="102"/>
      <c r="D25" s="102"/>
      <c r="E25" s="102"/>
      <c r="F25" s="130">
        <f>ROUNDDOWN(F24*20%,-1)</f>
        <v>67200</v>
      </c>
      <c r="G25" s="130"/>
      <c r="H25" s="108"/>
      <c r="I25" s="87"/>
      <c r="J25" s="38"/>
      <c r="K25" s="38">
        <v>8</v>
      </c>
      <c r="L25" s="38"/>
      <c r="M25" s="38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6" customHeight="1">
      <c r="A26" s="37"/>
      <c r="B26" s="106"/>
      <c r="C26" s="102"/>
      <c r="D26" s="102"/>
      <c r="E26" s="102"/>
      <c r="F26" s="107"/>
      <c r="G26" s="107"/>
      <c r="H26" s="108"/>
      <c r="I26" s="87"/>
      <c r="J26" s="38"/>
      <c r="K26" s="38">
        <v>9</v>
      </c>
      <c r="L26" s="38"/>
      <c r="M26" s="38"/>
      <c r="N26" s="38"/>
      <c r="O26" s="38"/>
      <c r="P26" s="38"/>
      <c r="Q26" s="38"/>
      <c r="R26" s="38"/>
      <c r="S26" s="38"/>
      <c r="T26" s="38"/>
      <c r="U26" s="1"/>
      <c r="V26" s="1"/>
    </row>
    <row r="27" spans="1:22" ht="4.5" customHeight="1" hidden="1">
      <c r="A27" s="37"/>
      <c r="B27" s="106"/>
      <c r="C27" s="102"/>
      <c r="D27" s="102"/>
      <c r="E27" s="102"/>
      <c r="F27" s="107"/>
      <c r="G27" s="107"/>
      <c r="H27" s="108"/>
      <c r="I27" s="87"/>
      <c r="J27" s="38"/>
      <c r="K27" s="38">
        <v>10</v>
      </c>
      <c r="L27" s="38"/>
      <c r="M27" s="38"/>
      <c r="N27" s="38"/>
      <c r="O27" s="38"/>
      <c r="P27" s="38"/>
      <c r="Q27" s="38"/>
      <c r="R27" s="38"/>
      <c r="S27" s="38"/>
      <c r="T27" s="38"/>
      <c r="U27" s="1"/>
      <c r="V27" s="1"/>
    </row>
    <row r="28" spans="1:22" ht="14.25">
      <c r="A28" s="37"/>
      <c r="B28" s="101" t="s">
        <v>80</v>
      </c>
      <c r="C28" s="102"/>
      <c r="D28" s="102"/>
      <c r="E28" s="102"/>
      <c r="F28" s="136">
        <f>F33+F37+F40</f>
        <v>157100</v>
      </c>
      <c r="G28" s="136"/>
      <c r="H28" s="109"/>
      <c r="I28" s="87"/>
      <c r="J28" s="38"/>
      <c r="K28" s="38">
        <v>11</v>
      </c>
      <c r="L28" s="38"/>
      <c r="M28" s="38"/>
      <c r="N28" s="38"/>
      <c r="O28" s="38"/>
      <c r="P28" s="38"/>
      <c r="Q28" s="38"/>
      <c r="R28" s="38"/>
      <c r="S28" s="38"/>
      <c r="T28" s="38"/>
      <c r="U28" s="1"/>
      <c r="V28" s="1"/>
    </row>
    <row r="29" spans="1:22" ht="4.5" customHeight="1">
      <c r="A29" s="37"/>
      <c r="B29" s="101"/>
      <c r="C29" s="102"/>
      <c r="D29" s="102"/>
      <c r="E29" s="102"/>
      <c r="F29" s="107"/>
      <c r="G29" s="107"/>
      <c r="H29" s="110"/>
      <c r="I29" s="87"/>
      <c r="J29" s="38"/>
      <c r="K29" s="38">
        <v>12</v>
      </c>
      <c r="L29" s="38"/>
      <c r="M29" s="38"/>
      <c r="N29" s="38"/>
      <c r="O29" s="38"/>
      <c r="P29" s="38"/>
      <c r="Q29" s="38"/>
      <c r="R29" s="38"/>
      <c r="S29" s="38"/>
      <c r="T29" s="38"/>
      <c r="U29" s="1"/>
      <c r="V29" s="1"/>
    </row>
    <row r="30" spans="1:22" ht="13.5" customHeight="1">
      <c r="A30" s="37"/>
      <c r="B30" s="106" t="s">
        <v>81</v>
      </c>
      <c r="C30" s="102"/>
      <c r="D30" s="102"/>
      <c r="E30" s="102"/>
      <c r="F30" s="130">
        <f>G7*11700</f>
        <v>11700</v>
      </c>
      <c r="G30" s="130"/>
      <c r="H30" s="112"/>
      <c r="I30" s="87"/>
      <c r="J30" s="38"/>
      <c r="K30" s="38">
        <v>13</v>
      </c>
      <c r="L30" s="38"/>
      <c r="M30" s="38"/>
      <c r="N30" s="38"/>
      <c r="O30" s="38"/>
      <c r="P30" s="38"/>
      <c r="Q30" s="38"/>
      <c r="R30" s="38"/>
      <c r="S30" s="38"/>
      <c r="T30" s="38"/>
      <c r="U30" s="1"/>
      <c r="V30" s="1"/>
    </row>
    <row r="31" spans="1:22" ht="13.5" customHeight="1">
      <c r="A31" s="37"/>
      <c r="B31" s="106" t="s">
        <v>82</v>
      </c>
      <c r="C31" s="102"/>
      <c r="D31" s="102"/>
      <c r="E31" s="102"/>
      <c r="F31" s="113"/>
      <c r="G31" s="113">
        <f>IF(G9=TRUE,12200*G7,0)</f>
        <v>12200</v>
      </c>
      <c r="H31" s="112"/>
      <c r="I31" s="87"/>
      <c r="J31" s="38"/>
      <c r="K31" s="38">
        <v>14</v>
      </c>
      <c r="L31" s="38"/>
      <c r="M31" s="38"/>
      <c r="N31" s="38"/>
      <c r="O31" s="38"/>
      <c r="P31" s="38"/>
      <c r="Q31" s="38"/>
      <c r="R31" s="38"/>
      <c r="S31" s="38"/>
      <c r="T31" s="38"/>
      <c r="U31" s="1"/>
      <c r="V31" s="1"/>
    </row>
    <row r="32" spans="1:22" ht="13.5" customHeight="1">
      <c r="A32" s="37"/>
      <c r="B32" s="106" t="s">
        <v>83</v>
      </c>
      <c r="C32" s="102"/>
      <c r="D32" s="102"/>
      <c r="E32" s="102"/>
      <c r="F32" s="113"/>
      <c r="G32" s="113">
        <f>IF(G11=TRUE,1200,0)</f>
        <v>1200</v>
      </c>
      <c r="H32" s="112"/>
      <c r="I32" s="87"/>
      <c r="J32" s="38"/>
      <c r="K32" s="38">
        <v>15</v>
      </c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</row>
    <row r="33" spans="1:22" ht="14.25">
      <c r="A33" s="37"/>
      <c r="B33" s="106"/>
      <c r="C33" s="114" t="s">
        <v>84</v>
      </c>
      <c r="D33" s="114"/>
      <c r="E33" s="114"/>
      <c r="F33" s="129">
        <f>SUM(F30:G32)</f>
        <v>25100</v>
      </c>
      <c r="G33" s="129"/>
      <c r="H33" s="112"/>
      <c r="I33" s="87"/>
      <c r="J33" s="38"/>
      <c r="K33" s="38">
        <v>16</v>
      </c>
      <c r="L33" s="38"/>
      <c r="M33" s="38"/>
      <c r="N33" s="38"/>
      <c r="O33" s="38"/>
      <c r="P33" s="38"/>
      <c r="Q33" s="38"/>
      <c r="R33" s="38"/>
      <c r="S33" s="38"/>
      <c r="T33" s="38"/>
      <c r="U33" s="1"/>
      <c r="V33" s="1"/>
    </row>
    <row r="34" spans="1:22" ht="6" customHeight="1" hidden="1">
      <c r="A34" s="37"/>
      <c r="B34" s="106"/>
      <c r="C34" s="102"/>
      <c r="D34" s="102"/>
      <c r="E34" s="102"/>
      <c r="F34" s="115"/>
      <c r="G34" s="115"/>
      <c r="H34" s="112"/>
      <c r="I34" s="8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1"/>
      <c r="V34" s="1"/>
    </row>
    <row r="35" spans="1:22" ht="14.25">
      <c r="A35" s="37"/>
      <c r="B35" s="137" t="s">
        <v>85</v>
      </c>
      <c r="C35" s="102"/>
      <c r="D35" s="102"/>
      <c r="E35" s="102"/>
      <c r="F35" s="130">
        <f>IF(C7&gt;0,100000,0)</f>
        <v>100000</v>
      </c>
      <c r="G35" s="130"/>
      <c r="H35" s="112"/>
      <c r="I35" s="8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"/>
      <c r="V35" s="1"/>
    </row>
    <row r="36" spans="1:22" ht="14.25">
      <c r="A36" s="37"/>
      <c r="B36" s="137"/>
      <c r="C36" s="102"/>
      <c r="D36" s="102"/>
      <c r="E36" s="102"/>
      <c r="F36" s="130">
        <f>IF(C7&gt;0,20000,0)</f>
        <v>20000</v>
      </c>
      <c r="G36" s="130"/>
      <c r="H36" s="116"/>
      <c r="I36" s="8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1"/>
      <c r="V36" s="1"/>
    </row>
    <row r="37" spans="1:22" ht="14.25">
      <c r="A37" s="37"/>
      <c r="B37" s="106"/>
      <c r="C37" s="114" t="s">
        <v>86</v>
      </c>
      <c r="D37" s="114"/>
      <c r="E37" s="114"/>
      <c r="F37" s="129">
        <f>SUM(F35:G36)</f>
        <v>120000</v>
      </c>
      <c r="G37" s="129"/>
      <c r="H37" s="116"/>
      <c r="I37" s="8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1"/>
      <c r="V37" s="1"/>
    </row>
    <row r="38" spans="1:22" ht="6" customHeight="1">
      <c r="A38" s="37"/>
      <c r="B38" s="106"/>
      <c r="C38" s="102"/>
      <c r="D38" s="102"/>
      <c r="E38" s="102"/>
      <c r="F38" s="115"/>
      <c r="G38" s="115"/>
      <c r="H38" s="116"/>
      <c r="I38" s="8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"/>
      <c r="V38" s="1"/>
    </row>
    <row r="39" spans="1:22" ht="14.25">
      <c r="A39" s="37"/>
      <c r="B39" s="111" t="s">
        <v>136</v>
      </c>
      <c r="C39" s="102"/>
      <c r="D39" s="102"/>
      <c r="E39" s="102"/>
      <c r="F39" s="130">
        <f>ROUNDDOWN(F37*10%,-1)</f>
        <v>12000</v>
      </c>
      <c r="G39" s="130"/>
      <c r="H39" s="116"/>
      <c r="I39" s="8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1"/>
      <c r="V39" s="1"/>
    </row>
    <row r="40" spans="1:22" ht="14.25">
      <c r="A40" s="37"/>
      <c r="B40" s="111"/>
      <c r="C40" s="114" t="s">
        <v>87</v>
      </c>
      <c r="D40" s="114"/>
      <c r="E40" s="114"/>
      <c r="F40" s="129">
        <f>F39</f>
        <v>12000</v>
      </c>
      <c r="G40" s="129"/>
      <c r="H40" s="85"/>
      <c r="I40" s="8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1"/>
      <c r="V40" s="1"/>
    </row>
    <row r="41" spans="1:22" ht="15" thickBot="1">
      <c r="A41" s="37"/>
      <c r="B41" s="80"/>
      <c r="C41" s="97"/>
      <c r="D41" s="97"/>
      <c r="E41" s="97"/>
      <c r="F41" s="97"/>
      <c r="G41" s="97"/>
      <c r="H41" s="97"/>
      <c r="I41" s="9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1"/>
      <c r="V41" s="1"/>
    </row>
    <row r="42" spans="1:22" ht="13.5">
      <c r="A42" s="37"/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1"/>
      <c r="V42" s="1"/>
    </row>
    <row r="43" spans="1:22" ht="13.5">
      <c r="A43" s="37"/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1"/>
      <c r="V43" s="1"/>
    </row>
    <row r="44" spans="1:22" ht="13.5">
      <c r="A44" s="37"/>
      <c r="B44" s="4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1"/>
      <c r="V44" s="1"/>
    </row>
    <row r="45" spans="1:22" ht="13.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1"/>
      <c r="V45" s="1"/>
    </row>
    <row r="46" spans="1:22" ht="13.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1"/>
      <c r="V46" s="1"/>
    </row>
    <row r="47" spans="1:22" ht="13.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1"/>
      <c r="V47" s="1"/>
    </row>
    <row r="48" spans="1:22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1"/>
      <c r="V48" s="1"/>
    </row>
    <row r="49" spans="1:22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1"/>
      <c r="V49" s="1"/>
    </row>
    <row r="50" spans="1:22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1"/>
      <c r="V50" s="1"/>
    </row>
    <row r="51" spans="1:22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1"/>
      <c r="V51" s="1"/>
    </row>
    <row r="52" spans="1:22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1"/>
      <c r="V52" s="1"/>
    </row>
    <row r="53" spans="1:22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"/>
      <c r="V53" s="1"/>
    </row>
    <row r="54" spans="1:22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1"/>
      <c r="V54" s="1"/>
    </row>
    <row r="55" spans="1:22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1"/>
      <c r="V55" s="1"/>
    </row>
    <row r="56" spans="1:22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1"/>
      <c r="V56" s="1"/>
    </row>
    <row r="57" spans="1:22" ht="13.5">
      <c r="A57" s="38"/>
      <c r="B57" s="38"/>
      <c r="C57" s="38"/>
      <c r="D57" s="38"/>
      <c r="E57" s="38"/>
      <c r="F57" s="38"/>
      <c r="G57" s="38"/>
      <c r="H57" s="38"/>
      <c r="I57" s="38"/>
      <c r="J57" s="42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1"/>
      <c r="V57" s="1"/>
    </row>
    <row r="58" spans="1:22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1"/>
      <c r="V58" s="1"/>
    </row>
    <row r="59" spans="1:22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1"/>
      <c r="V59" s="1"/>
    </row>
    <row r="60" spans="1:22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2">
        <f>ROUNDDOWN(ROUND(K59*1%,-4)*(1-L59)*0.6%,-1)</f>
        <v>0</v>
      </c>
      <c r="N60" s="38"/>
      <c r="O60" s="38"/>
      <c r="P60" s="38"/>
      <c r="Q60" s="38"/>
      <c r="R60" s="38"/>
      <c r="S60" s="38"/>
      <c r="T60" s="38"/>
      <c r="U60" s="1"/>
      <c r="V60" s="1"/>
    </row>
    <row r="61" spans="1:22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1"/>
      <c r="V61" s="1"/>
    </row>
    <row r="62" spans="1:22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1"/>
      <c r="V62" s="1"/>
    </row>
    <row r="63" spans="1:22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1"/>
      <c r="V63" s="1"/>
    </row>
    <row r="64" spans="15:22" ht="13.5">
      <c r="O64" s="1"/>
      <c r="P64" s="1"/>
      <c r="Q64" s="1"/>
      <c r="R64" s="1"/>
      <c r="S64" s="1"/>
      <c r="T64" s="1"/>
      <c r="U64" s="1"/>
      <c r="V64" s="1"/>
    </row>
    <row r="65" spans="15:22" ht="13.5">
      <c r="O65" s="1"/>
      <c r="P65" s="1"/>
      <c r="Q65" s="1"/>
      <c r="R65" s="1"/>
      <c r="S65" s="1"/>
      <c r="T65" s="1"/>
      <c r="U65" s="1"/>
      <c r="V65" s="1"/>
    </row>
    <row r="66" spans="15:22" ht="13.5">
      <c r="O66" s="1"/>
      <c r="P66" s="1"/>
      <c r="Q66" s="1"/>
      <c r="R66" s="1"/>
      <c r="S66" s="1"/>
      <c r="T66" s="1"/>
      <c r="U66" s="1"/>
      <c r="V66" s="1"/>
    </row>
    <row r="67" spans="15:22" ht="13.5">
      <c r="O67" s="1"/>
      <c r="P67" s="1"/>
      <c r="Q67" s="1"/>
      <c r="R67" s="1"/>
      <c r="S67" s="1"/>
      <c r="T67" s="1"/>
      <c r="U67" s="1"/>
      <c r="V67" s="1"/>
    </row>
    <row r="68" spans="15:22" ht="13.5">
      <c r="O68" s="1"/>
      <c r="P68" s="1"/>
      <c r="Q68" s="1"/>
      <c r="R68" s="1"/>
      <c r="S68" s="1"/>
      <c r="T68" s="1"/>
      <c r="U68" s="1"/>
      <c r="V68" s="1"/>
    </row>
    <row r="69" spans="15:22" ht="13.5">
      <c r="O69" s="1"/>
      <c r="P69" s="1"/>
      <c r="Q69" s="1"/>
      <c r="R69" s="1"/>
      <c r="S69" s="1"/>
      <c r="T69" s="1"/>
      <c r="U69" s="1"/>
      <c r="V69" s="1"/>
    </row>
    <row r="70" spans="15:22" ht="13.5">
      <c r="O70" s="1"/>
      <c r="P70" s="1"/>
      <c r="Q70" s="1"/>
      <c r="R70" s="1"/>
      <c r="S70" s="1"/>
      <c r="T70" s="1"/>
      <c r="U70" s="1"/>
      <c r="V70" s="1"/>
    </row>
    <row r="71" spans="15:22" ht="13.5">
      <c r="O71" s="1"/>
      <c r="P71" s="1"/>
      <c r="Q71" s="1"/>
      <c r="R71" s="1"/>
      <c r="S71" s="1"/>
      <c r="T71" s="1"/>
      <c r="U71" s="1"/>
      <c r="V71" s="1"/>
    </row>
    <row r="72" spans="15:22" ht="13.5">
      <c r="O72" s="1"/>
      <c r="P72" s="1"/>
      <c r="Q72" s="1"/>
      <c r="R72" s="1"/>
      <c r="S72" s="1"/>
      <c r="T72" s="1"/>
      <c r="U72" s="1"/>
      <c r="V72" s="1"/>
    </row>
    <row r="73" spans="15:22" ht="13.5">
      <c r="O73" s="1"/>
      <c r="P73" s="1"/>
      <c r="Q73" s="1"/>
      <c r="R73" s="1"/>
      <c r="S73" s="1"/>
      <c r="T73" s="1"/>
      <c r="U73" s="1"/>
      <c r="V73" s="1"/>
    </row>
    <row r="74" spans="15:22" ht="13.5">
      <c r="O74" s="1"/>
      <c r="P74" s="1"/>
      <c r="Q74" s="1"/>
      <c r="R74" s="1"/>
      <c r="S74" s="1"/>
      <c r="T74" s="1"/>
      <c r="U74" s="1"/>
      <c r="V74" s="1"/>
    </row>
    <row r="75" spans="15:22" ht="13.5">
      <c r="O75" s="1"/>
      <c r="P75" s="1"/>
      <c r="Q75" s="1"/>
      <c r="R75" s="1"/>
      <c r="S75" s="1"/>
      <c r="T75" s="1"/>
      <c r="U75" s="1"/>
      <c r="V75" s="1"/>
    </row>
    <row r="76" spans="15:22" ht="13.5">
      <c r="O76" s="1"/>
      <c r="P76" s="1"/>
      <c r="Q76" s="1"/>
      <c r="R76" s="1"/>
      <c r="S76" s="1"/>
      <c r="T76" s="1"/>
      <c r="U76" s="1"/>
      <c r="V76" s="1"/>
    </row>
    <row r="77" spans="15:22" ht="13.5">
      <c r="O77" s="1"/>
      <c r="P77" s="1"/>
      <c r="Q77" s="1"/>
      <c r="R77" s="1"/>
      <c r="S77" s="1"/>
      <c r="T77" s="1"/>
      <c r="U77" s="1"/>
      <c r="V77" s="1"/>
    </row>
    <row r="78" spans="15:22" ht="13.5">
      <c r="O78" s="1"/>
      <c r="P78" s="1"/>
      <c r="Q78" s="1"/>
      <c r="R78" s="1"/>
      <c r="S78" s="1"/>
      <c r="T78" s="1"/>
      <c r="U78" s="1"/>
      <c r="V78" s="1"/>
    </row>
    <row r="79" spans="15:22" ht="13.5">
      <c r="O79" s="1"/>
      <c r="P79" s="1"/>
      <c r="Q79" s="1"/>
      <c r="R79" s="1"/>
      <c r="S79" s="1"/>
      <c r="T79" s="1"/>
      <c r="U79" s="1"/>
      <c r="V79" s="1"/>
    </row>
    <row r="80" spans="15:22" ht="13.5">
      <c r="O80" s="1"/>
      <c r="P80" s="1"/>
      <c r="Q80" s="1"/>
      <c r="R80" s="1"/>
      <c r="S80" s="1"/>
      <c r="T80" s="1"/>
      <c r="U80" s="1"/>
      <c r="V80" s="1"/>
    </row>
    <row r="81" spans="15:22" ht="13.5">
      <c r="O81" s="1"/>
      <c r="P81" s="1"/>
      <c r="Q81" s="1"/>
      <c r="R81" s="1"/>
      <c r="S81" s="1"/>
      <c r="T81" s="1"/>
      <c r="U81" s="1"/>
      <c r="V81" s="1"/>
    </row>
    <row r="82" spans="3:22" ht="13.5">
      <c r="C82" s="4"/>
      <c r="O82" s="1"/>
      <c r="P82" s="1"/>
      <c r="Q82" s="1"/>
      <c r="R82" s="1"/>
      <c r="S82" s="1"/>
      <c r="T82" s="1"/>
      <c r="U82" s="1"/>
      <c r="V82" s="1"/>
    </row>
    <row r="83" spans="15:22" ht="13.5">
      <c r="O83" s="1"/>
      <c r="P83" s="1"/>
      <c r="Q83" s="1"/>
      <c r="R83" s="1"/>
      <c r="S83" s="1"/>
      <c r="T83" s="1"/>
      <c r="U83" s="1"/>
      <c r="V83" s="1"/>
    </row>
    <row r="84" spans="15:22" ht="13.5">
      <c r="O84" s="1"/>
      <c r="P84" s="1"/>
      <c r="Q84" s="1"/>
      <c r="R84" s="1"/>
      <c r="S84" s="1"/>
      <c r="T84" s="1"/>
      <c r="U84" s="1"/>
      <c r="V84" s="1"/>
    </row>
    <row r="85" spans="15:22" ht="13.5">
      <c r="O85" s="1"/>
      <c r="P85" s="1"/>
      <c r="Q85" s="1"/>
      <c r="R85" s="1"/>
      <c r="S85" s="1"/>
      <c r="T85" s="1"/>
      <c r="U85" s="1"/>
      <c r="V85" s="1"/>
    </row>
    <row r="86" spans="15:22" ht="13.5">
      <c r="O86" s="1"/>
      <c r="P86" s="1"/>
      <c r="Q86" s="1"/>
      <c r="R86" s="1"/>
      <c r="S86" s="1"/>
      <c r="T86" s="1"/>
      <c r="U86" s="1"/>
      <c r="V86" s="1"/>
    </row>
    <row r="87" spans="15:22" ht="13.5">
      <c r="O87" s="1"/>
      <c r="P87" s="1"/>
      <c r="Q87" s="1"/>
      <c r="R87" s="1"/>
      <c r="S87" s="1"/>
      <c r="T87" s="1"/>
      <c r="U87" s="1"/>
      <c r="V87" s="1"/>
    </row>
    <row r="88" spans="15:22" ht="13.5">
      <c r="O88" s="1"/>
      <c r="P88" s="1"/>
      <c r="Q88" s="1"/>
      <c r="R88" s="1"/>
      <c r="S88" s="1"/>
      <c r="T88" s="1"/>
      <c r="U88" s="1"/>
      <c r="V88" s="1"/>
    </row>
    <row r="89" spans="15:22" ht="13.5">
      <c r="O89" s="1"/>
      <c r="P89" s="1"/>
      <c r="Q89" s="1"/>
      <c r="R89" s="1"/>
      <c r="S89" s="1"/>
      <c r="T89" s="1"/>
      <c r="U89" s="1"/>
      <c r="V89" s="1"/>
    </row>
    <row r="90" spans="15:22" ht="13.5">
      <c r="O90" s="1"/>
      <c r="P90" s="1"/>
      <c r="Q90" s="1"/>
      <c r="R90" s="1"/>
      <c r="S90" s="1"/>
      <c r="T90" s="1"/>
      <c r="U90" s="1"/>
      <c r="V90" s="1"/>
    </row>
    <row r="91" spans="15:22" ht="13.5">
      <c r="O91" s="1"/>
      <c r="P91" s="1"/>
      <c r="Q91" s="1"/>
      <c r="R91" s="1"/>
      <c r="S91" s="1"/>
      <c r="T91" s="1"/>
      <c r="U91" s="1"/>
      <c r="V91" s="1"/>
    </row>
    <row r="92" spans="15:22" ht="13.5">
      <c r="O92" s="1"/>
      <c r="P92" s="1"/>
      <c r="Q92" s="1"/>
      <c r="R92" s="1"/>
      <c r="S92" s="1"/>
      <c r="T92" s="1"/>
      <c r="U92" s="1"/>
      <c r="V92" s="1"/>
    </row>
    <row r="93" spans="15:22" ht="13.5">
      <c r="O93" s="1"/>
      <c r="P93" s="1"/>
      <c r="Q93" s="1"/>
      <c r="R93" s="1"/>
      <c r="S93" s="1"/>
      <c r="T93" s="1"/>
      <c r="U93" s="1"/>
      <c r="V93" s="1"/>
    </row>
    <row r="94" spans="15:22" ht="13.5">
      <c r="O94" s="1"/>
      <c r="P94" s="1"/>
      <c r="Q94" s="1"/>
      <c r="R94" s="1"/>
      <c r="S94" s="1"/>
      <c r="T94" s="1"/>
      <c r="U94" s="1"/>
      <c r="V94" s="1"/>
    </row>
    <row r="95" spans="15:22" ht="13.5">
      <c r="O95" s="1"/>
      <c r="P95" s="1"/>
      <c r="Q95" s="1"/>
      <c r="R95" s="1"/>
      <c r="S95" s="1"/>
      <c r="T95" s="1"/>
      <c r="U95" s="1"/>
      <c r="V95" s="1"/>
    </row>
    <row r="96" spans="15:22" ht="13.5">
      <c r="O96" s="1"/>
      <c r="P96" s="1"/>
      <c r="Q96" s="1"/>
      <c r="R96" s="1"/>
      <c r="S96" s="1"/>
      <c r="T96" s="1"/>
      <c r="U96" s="1"/>
      <c r="V96" s="1"/>
    </row>
    <row r="97" spans="15:22" ht="13.5">
      <c r="O97" s="1"/>
      <c r="P97" s="1"/>
      <c r="Q97" s="1"/>
      <c r="R97" s="1"/>
      <c r="S97" s="1"/>
      <c r="T97" s="1"/>
      <c r="U97" s="1"/>
      <c r="V97" s="1"/>
    </row>
    <row r="98" spans="15:22" ht="13.5">
      <c r="O98" s="1"/>
      <c r="P98" s="1"/>
      <c r="Q98" s="1"/>
      <c r="R98" s="1"/>
      <c r="S98" s="1"/>
      <c r="T98" s="1"/>
      <c r="U98" s="1"/>
      <c r="V98" s="1"/>
    </row>
    <row r="99" spans="15:22" ht="13.5">
      <c r="O99" s="1"/>
      <c r="P99" s="1"/>
      <c r="Q99" s="1"/>
      <c r="R99" s="1"/>
      <c r="S99" s="1"/>
      <c r="T99" s="1"/>
      <c r="U99" s="1"/>
      <c r="V99" s="1"/>
    </row>
    <row r="100" spans="15:22" ht="13.5">
      <c r="O100" s="1"/>
      <c r="P100" s="1"/>
      <c r="Q100" s="1"/>
      <c r="R100" s="1"/>
      <c r="S100" s="1"/>
      <c r="T100" s="1"/>
      <c r="U100" s="1"/>
      <c r="V100" s="1"/>
    </row>
    <row r="101" spans="15:22" ht="13.5">
      <c r="O101" s="1"/>
      <c r="P101" s="1"/>
      <c r="Q101" s="1"/>
      <c r="R101" s="1"/>
      <c r="S101" s="1"/>
      <c r="T101" s="1"/>
      <c r="U101" s="1"/>
      <c r="V101" s="1"/>
    </row>
    <row r="102" spans="15:22" ht="13.5">
      <c r="O102" s="1"/>
      <c r="P102" s="1"/>
      <c r="Q102" s="1"/>
      <c r="R102" s="1"/>
      <c r="S102" s="1"/>
      <c r="T102" s="1"/>
      <c r="U102" s="1"/>
      <c r="V102" s="1"/>
    </row>
    <row r="103" spans="13:23" ht="15" thickBot="1"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3:23" ht="15" thickTop="1">
      <c r="M104" s="46"/>
      <c r="N104" s="46" t="str">
        <f>B2</f>
        <v>(VERSION 5.17 / Last Updated '18.11)</v>
      </c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3:23" ht="14.25"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3:23" ht="14.25"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3:23" ht="14.25"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3:23" ht="25.5" customHeight="1"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3:23" ht="19.5">
      <c r="M109" s="45"/>
      <c r="N109" s="45"/>
      <c r="O109" s="131" t="s">
        <v>107</v>
      </c>
      <c r="P109" s="131"/>
      <c r="Q109" s="131"/>
      <c r="R109" s="131"/>
      <c r="S109" s="131"/>
      <c r="T109" s="131"/>
      <c r="U109" s="131"/>
      <c r="V109" s="47"/>
      <c r="W109" s="45"/>
    </row>
    <row r="110" spans="13:23" ht="14.25">
      <c r="M110" s="45"/>
      <c r="N110" s="45"/>
      <c r="O110" s="132">
        <f>E3</f>
        <v>43419</v>
      </c>
      <c r="P110" s="133"/>
      <c r="Q110" s="133"/>
      <c r="R110" s="133"/>
      <c r="S110" s="133"/>
      <c r="T110" s="133"/>
      <c r="U110" s="133"/>
      <c r="V110" s="47"/>
      <c r="W110" s="45"/>
    </row>
    <row r="111" spans="13:23" ht="14.25">
      <c r="M111" s="45"/>
      <c r="N111" s="45"/>
      <c r="O111" s="48"/>
      <c r="P111" s="49"/>
      <c r="Q111" s="49"/>
      <c r="R111" s="49"/>
      <c r="S111" s="49"/>
      <c r="T111" s="49"/>
      <c r="U111" s="49"/>
      <c r="V111" s="47"/>
      <c r="W111" s="45"/>
    </row>
    <row r="112" spans="13:23" ht="14.25">
      <c r="M112" s="45"/>
      <c r="N112" s="45"/>
      <c r="O112" s="49"/>
      <c r="P112" s="49"/>
      <c r="Q112" s="49"/>
      <c r="R112" s="49"/>
      <c r="S112" s="49"/>
      <c r="T112" s="49"/>
      <c r="U112" s="49"/>
      <c r="V112" s="47"/>
      <c r="W112" s="45"/>
    </row>
    <row r="113" spans="13:23" ht="14.25">
      <c r="M113" s="45"/>
      <c r="N113" s="50"/>
      <c r="O113" s="51" t="s">
        <v>64</v>
      </c>
      <c r="P113" s="134" t="str">
        <f>C5</f>
        <v>김하나</v>
      </c>
      <c r="Q113" s="134"/>
      <c r="R113" s="51" t="s">
        <v>66</v>
      </c>
      <c r="S113" s="52"/>
      <c r="T113" s="135">
        <f>F5</f>
        <v>8001011234567</v>
      </c>
      <c r="U113" s="135"/>
      <c r="V113" s="53"/>
      <c r="W113" s="45"/>
    </row>
    <row r="114" spans="13:23" ht="14.25">
      <c r="M114" s="45"/>
      <c r="N114" s="54"/>
      <c r="O114" s="55" t="s">
        <v>68</v>
      </c>
      <c r="P114" s="124">
        <f>C7</f>
        <v>168000000</v>
      </c>
      <c r="Q114" s="124"/>
      <c r="R114" s="55" t="s">
        <v>69</v>
      </c>
      <c r="S114" s="56"/>
      <c r="T114" s="125">
        <f>G7</f>
        <v>1</v>
      </c>
      <c r="U114" s="125"/>
      <c r="V114" s="57"/>
      <c r="W114" s="45"/>
    </row>
    <row r="115" spans="13:23" ht="14.25">
      <c r="M115" s="45"/>
      <c r="N115" s="54"/>
      <c r="O115" s="55" t="s">
        <v>70</v>
      </c>
      <c r="P115" s="58"/>
      <c r="Q115" s="59">
        <f>D9</f>
        <v>42415</v>
      </c>
      <c r="R115" s="55" t="s">
        <v>88</v>
      </c>
      <c r="S115" s="56"/>
      <c r="T115" s="55" t="s">
        <v>73</v>
      </c>
      <c r="U115" s="56"/>
      <c r="V115" s="57"/>
      <c r="W115" s="45"/>
    </row>
    <row r="116" spans="13:23" ht="14.25">
      <c r="M116" s="45"/>
      <c r="N116" s="60"/>
      <c r="O116" s="61"/>
      <c r="P116" s="62"/>
      <c r="Q116" s="63"/>
      <c r="R116" s="61" t="s">
        <v>74</v>
      </c>
      <c r="S116" s="62"/>
      <c r="T116" s="126">
        <f>G13</f>
        <v>9864</v>
      </c>
      <c r="U116" s="126"/>
      <c r="V116" s="64"/>
      <c r="W116" s="45"/>
    </row>
    <row r="117" spans="13:23" ht="14.25">
      <c r="M117" s="45"/>
      <c r="N117" s="45"/>
      <c r="O117" s="65"/>
      <c r="P117" s="56"/>
      <c r="Q117" s="56"/>
      <c r="R117" s="56"/>
      <c r="S117" s="56"/>
      <c r="T117" s="56"/>
      <c r="U117" s="56"/>
      <c r="V117" s="47"/>
      <c r="W117" s="45"/>
    </row>
    <row r="118" spans="13:23" ht="14.25">
      <c r="M118" s="45"/>
      <c r="N118" s="45"/>
      <c r="O118" s="65"/>
      <c r="P118" s="56"/>
      <c r="Q118" s="56"/>
      <c r="R118" s="56"/>
      <c r="S118" s="56"/>
      <c r="T118" s="56"/>
      <c r="U118" s="56"/>
      <c r="V118" s="47"/>
      <c r="W118" s="45"/>
    </row>
    <row r="119" spans="13:23" ht="14.25">
      <c r="M119" s="45"/>
      <c r="N119" s="45"/>
      <c r="O119" s="55"/>
      <c r="P119" s="56"/>
      <c r="Q119" s="56"/>
      <c r="R119" s="56"/>
      <c r="S119" s="56"/>
      <c r="T119" s="127"/>
      <c r="U119" s="127"/>
      <c r="V119" s="67"/>
      <c r="W119" s="47"/>
    </row>
    <row r="120" spans="13:23" ht="14.25">
      <c r="M120" s="45"/>
      <c r="N120" s="45"/>
      <c r="O120" s="55"/>
      <c r="P120" s="56"/>
      <c r="Q120" s="56"/>
      <c r="R120" s="56"/>
      <c r="S120" s="56"/>
      <c r="T120" s="66"/>
      <c r="U120" s="66"/>
      <c r="V120" s="67"/>
      <c r="W120" s="47"/>
    </row>
    <row r="121" spans="13:23" ht="14.25">
      <c r="M121" s="45"/>
      <c r="N121" s="45"/>
      <c r="O121" s="55" t="s">
        <v>89</v>
      </c>
      <c r="P121" s="56"/>
      <c r="Q121" s="56"/>
      <c r="R121" s="56"/>
      <c r="S121" s="56"/>
      <c r="T121" s="122">
        <f>F18</f>
        <v>26858</v>
      </c>
      <c r="U121" s="128"/>
      <c r="V121" s="67"/>
      <c r="W121" s="47"/>
    </row>
    <row r="122" spans="13:23" ht="14.25">
      <c r="M122" s="45"/>
      <c r="N122" s="45"/>
      <c r="O122" s="56"/>
      <c r="P122" s="56"/>
      <c r="Q122" s="56"/>
      <c r="R122" s="56"/>
      <c r="S122" s="56"/>
      <c r="T122" s="68"/>
      <c r="U122" s="68"/>
      <c r="V122" s="69"/>
      <c r="W122" s="47"/>
    </row>
    <row r="123" spans="13:23" ht="14.25">
      <c r="M123" s="45"/>
      <c r="N123" s="45"/>
      <c r="O123" s="55" t="s">
        <v>90</v>
      </c>
      <c r="P123" s="56"/>
      <c r="Q123" s="56"/>
      <c r="R123" s="56"/>
      <c r="S123" s="56"/>
      <c r="T123" s="123">
        <f>T125+T131</f>
        <v>520300</v>
      </c>
      <c r="U123" s="128"/>
      <c r="V123" s="69"/>
      <c r="W123" s="47"/>
    </row>
    <row r="124" spans="13:23" ht="14.25">
      <c r="M124" s="45"/>
      <c r="N124" s="45"/>
      <c r="O124" s="56"/>
      <c r="P124" s="56"/>
      <c r="Q124" s="56"/>
      <c r="R124" s="56"/>
      <c r="S124" s="56"/>
      <c r="T124" s="68"/>
      <c r="U124" s="68"/>
      <c r="V124" s="69"/>
      <c r="W124" s="47"/>
    </row>
    <row r="125" spans="13:23" ht="14.25">
      <c r="M125" s="45"/>
      <c r="N125" s="45"/>
      <c r="O125" s="55" t="s">
        <v>91</v>
      </c>
      <c r="P125" s="56"/>
      <c r="Q125" s="56"/>
      <c r="R125" s="56"/>
      <c r="S125" s="56"/>
      <c r="T125" s="123">
        <f>SUM(T127:U128)</f>
        <v>403200</v>
      </c>
      <c r="U125" s="123"/>
      <c r="V125" s="70"/>
      <c r="W125" s="47"/>
    </row>
    <row r="126" spans="13:23" ht="14.25">
      <c r="M126" s="45"/>
      <c r="N126" s="45"/>
      <c r="O126" s="55"/>
      <c r="P126" s="56"/>
      <c r="Q126" s="56"/>
      <c r="R126" s="56"/>
      <c r="S126" s="56"/>
      <c r="T126" s="68"/>
      <c r="U126" s="68"/>
      <c r="V126" s="71"/>
      <c r="W126" s="47"/>
    </row>
    <row r="127" spans="13:23" ht="14.25">
      <c r="M127" s="45"/>
      <c r="N127" s="45"/>
      <c r="O127" s="65" t="s">
        <v>92</v>
      </c>
      <c r="P127" s="56"/>
      <c r="Q127" s="56"/>
      <c r="R127" s="56"/>
      <c r="S127" s="56"/>
      <c r="T127" s="122">
        <f>F24</f>
        <v>336000</v>
      </c>
      <c r="U127" s="122"/>
      <c r="V127" s="69"/>
      <c r="W127" s="47"/>
    </row>
    <row r="128" spans="13:23" ht="14.25">
      <c r="M128" s="45"/>
      <c r="N128" s="45"/>
      <c r="O128" s="56" t="s">
        <v>93</v>
      </c>
      <c r="P128" s="56"/>
      <c r="Q128" s="56"/>
      <c r="R128" s="56"/>
      <c r="S128" s="56"/>
      <c r="T128" s="122">
        <f>F25</f>
        <v>67200</v>
      </c>
      <c r="U128" s="122"/>
      <c r="V128" s="69"/>
      <c r="W128" s="47"/>
    </row>
    <row r="129" spans="13:23" ht="14.25">
      <c r="M129" s="45"/>
      <c r="N129" s="45"/>
      <c r="O129" s="45"/>
      <c r="P129" s="56"/>
      <c r="Q129" s="56"/>
      <c r="R129" s="56"/>
      <c r="S129" s="56"/>
      <c r="T129" s="68"/>
      <c r="U129" s="68"/>
      <c r="V129" s="69"/>
      <c r="W129" s="47"/>
    </row>
    <row r="130" spans="13:23" ht="14.25">
      <c r="M130" s="45"/>
      <c r="N130" s="45"/>
      <c r="O130" s="56"/>
      <c r="P130" s="56"/>
      <c r="Q130" s="56"/>
      <c r="R130" s="56"/>
      <c r="S130" s="56"/>
      <c r="T130" s="68"/>
      <c r="U130" s="68"/>
      <c r="V130" s="69"/>
      <c r="W130" s="47"/>
    </row>
    <row r="131" spans="13:23" ht="14.25">
      <c r="M131" s="45"/>
      <c r="N131" s="45"/>
      <c r="O131" s="55" t="s">
        <v>94</v>
      </c>
      <c r="P131" s="56"/>
      <c r="Q131" s="56"/>
      <c r="R131" s="56"/>
      <c r="S131" s="56"/>
      <c r="T131" s="123">
        <f>T136+T140+T143</f>
        <v>117100</v>
      </c>
      <c r="U131" s="123"/>
      <c r="V131" s="70"/>
      <c r="W131" s="47"/>
    </row>
    <row r="132" spans="13:23" ht="14.25">
      <c r="M132" s="45"/>
      <c r="N132" s="45"/>
      <c r="O132" s="55"/>
      <c r="P132" s="56"/>
      <c r="Q132" s="56"/>
      <c r="R132" s="56"/>
      <c r="S132" s="56"/>
      <c r="T132" s="68"/>
      <c r="U132" s="68"/>
      <c r="V132" s="71"/>
      <c r="W132" s="47"/>
    </row>
    <row r="133" spans="13:23" ht="14.25">
      <c r="M133" s="45"/>
      <c r="N133" s="45"/>
      <c r="O133" s="56" t="s">
        <v>95</v>
      </c>
      <c r="P133" s="56"/>
      <c r="Q133" s="56"/>
      <c r="R133" s="56"/>
      <c r="S133" s="56"/>
      <c r="T133" s="122">
        <f>F30</f>
        <v>11700</v>
      </c>
      <c r="U133" s="122"/>
      <c r="V133" s="72"/>
      <c r="W133" s="47"/>
    </row>
    <row r="134" spans="13:23" ht="14.25">
      <c r="M134" s="45"/>
      <c r="N134" s="45"/>
      <c r="O134" s="56" t="s">
        <v>96</v>
      </c>
      <c r="P134" s="56"/>
      <c r="Q134" s="56"/>
      <c r="R134" s="56"/>
      <c r="S134" s="56"/>
      <c r="T134" s="122">
        <f>G31</f>
        <v>12200</v>
      </c>
      <c r="U134" s="122"/>
      <c r="V134" s="72"/>
      <c r="W134" s="47"/>
    </row>
    <row r="135" spans="13:23" ht="14.25">
      <c r="M135" s="45"/>
      <c r="N135" s="45"/>
      <c r="O135" s="56" t="s">
        <v>97</v>
      </c>
      <c r="P135" s="56"/>
      <c r="Q135" s="56"/>
      <c r="R135" s="56"/>
      <c r="S135" s="56"/>
      <c r="T135" s="122">
        <f>G32</f>
        <v>1200</v>
      </c>
      <c r="U135" s="122"/>
      <c r="V135" s="72"/>
      <c r="W135" s="47"/>
    </row>
    <row r="136" spans="13:23" ht="14.25">
      <c r="M136" s="45"/>
      <c r="N136" s="45"/>
      <c r="O136" s="56"/>
      <c r="P136" s="56" t="s">
        <v>98</v>
      </c>
      <c r="Q136" s="56"/>
      <c r="R136" s="56"/>
      <c r="S136" s="56"/>
      <c r="T136" s="121">
        <f>SUM(T133:U135)</f>
        <v>25100</v>
      </c>
      <c r="U136" s="121"/>
      <c r="V136" s="72"/>
      <c r="W136" s="47"/>
    </row>
    <row r="137" spans="13:23" ht="14.25">
      <c r="M137" s="45"/>
      <c r="N137" s="45"/>
      <c r="O137" s="56"/>
      <c r="P137" s="56"/>
      <c r="Q137" s="56"/>
      <c r="R137" s="56"/>
      <c r="S137" s="56"/>
      <c r="T137" s="73"/>
      <c r="U137" s="73"/>
      <c r="V137" s="72"/>
      <c r="W137" s="47"/>
    </row>
    <row r="138" spans="13:23" ht="14.25">
      <c r="M138" s="45"/>
      <c r="N138" s="45"/>
      <c r="O138" s="65" t="s">
        <v>99</v>
      </c>
      <c r="P138" s="56"/>
      <c r="Q138" s="56"/>
      <c r="R138" s="56"/>
      <c r="S138" s="56"/>
      <c r="T138" s="122">
        <f>IF(P114&gt;0,60000,0)</f>
        <v>60000</v>
      </c>
      <c r="U138" s="122"/>
      <c r="V138" s="72"/>
      <c r="W138" s="47"/>
    </row>
    <row r="139" spans="13:23" ht="14.25">
      <c r="M139" s="45"/>
      <c r="N139" s="45"/>
      <c r="O139" s="56" t="s">
        <v>100</v>
      </c>
      <c r="P139" s="56"/>
      <c r="Q139" s="56"/>
      <c r="R139" s="56"/>
      <c r="S139" s="56"/>
      <c r="T139" s="122">
        <f>F36</f>
        <v>20000</v>
      </c>
      <c r="U139" s="122"/>
      <c r="V139" s="56"/>
      <c r="W139" s="47"/>
    </row>
    <row r="140" spans="13:23" ht="14.25">
      <c r="M140" s="45"/>
      <c r="N140" s="45"/>
      <c r="O140" s="56"/>
      <c r="P140" s="56" t="s">
        <v>101</v>
      </c>
      <c r="Q140" s="56"/>
      <c r="R140" s="56"/>
      <c r="S140" s="56"/>
      <c r="T140" s="121">
        <f>SUM(T138:U139)</f>
        <v>80000</v>
      </c>
      <c r="U140" s="121"/>
      <c r="V140" s="56"/>
      <c r="W140" s="47"/>
    </row>
    <row r="141" spans="13:23" ht="14.25">
      <c r="M141" s="45"/>
      <c r="N141" s="45"/>
      <c r="O141" s="56"/>
      <c r="P141" s="56"/>
      <c r="Q141" s="56"/>
      <c r="R141" s="56"/>
      <c r="S141" s="56"/>
      <c r="T141" s="73"/>
      <c r="U141" s="73"/>
      <c r="V141" s="56"/>
      <c r="W141" s="47"/>
    </row>
    <row r="142" spans="13:23" ht="14.25">
      <c r="M142" s="45"/>
      <c r="N142" s="45"/>
      <c r="O142" s="65" t="s">
        <v>102</v>
      </c>
      <c r="P142" s="56"/>
      <c r="Q142" s="56"/>
      <c r="R142" s="56"/>
      <c r="S142" s="56"/>
      <c r="T142" s="122">
        <f>F39</f>
        <v>12000</v>
      </c>
      <c r="U142" s="122"/>
      <c r="V142" s="56"/>
      <c r="W142" s="47"/>
    </row>
    <row r="143" spans="13:23" ht="14.25">
      <c r="M143" s="45"/>
      <c r="N143" s="45"/>
      <c r="O143" s="65"/>
      <c r="P143" s="56" t="s">
        <v>103</v>
      </c>
      <c r="Q143" s="56"/>
      <c r="R143" s="56"/>
      <c r="S143" s="56"/>
      <c r="T143" s="121">
        <f>T142</f>
        <v>12000</v>
      </c>
      <c r="U143" s="121"/>
      <c r="V143" s="56"/>
      <c r="W143" s="47"/>
    </row>
    <row r="144" spans="13:23" ht="14.25">
      <c r="M144" s="45"/>
      <c r="N144" s="45"/>
      <c r="O144" s="45"/>
      <c r="P144" s="56"/>
      <c r="Q144" s="56"/>
      <c r="R144" s="56"/>
      <c r="S144" s="56"/>
      <c r="T144" s="56"/>
      <c r="U144" s="56"/>
      <c r="V144" s="47"/>
      <c r="W144" s="45"/>
    </row>
    <row r="145" spans="13:23" ht="14.25">
      <c r="M145" s="45"/>
      <c r="N145" s="45"/>
      <c r="P145" s="56"/>
      <c r="Q145" s="56"/>
      <c r="R145" s="56"/>
      <c r="S145" s="56"/>
      <c r="T145" s="56"/>
      <c r="U145" s="56"/>
      <c r="V145" s="47"/>
      <c r="W145" s="45"/>
    </row>
    <row r="146" spans="13:23" ht="14.25">
      <c r="M146" s="45"/>
      <c r="N146" s="45"/>
      <c r="O146" s="56" t="s">
        <v>104</v>
      </c>
      <c r="P146" s="56"/>
      <c r="Q146" s="56"/>
      <c r="R146" s="56"/>
      <c r="S146" s="56"/>
      <c r="T146" s="56"/>
      <c r="U146" s="56"/>
      <c r="V146" s="47"/>
      <c r="W146" s="45"/>
    </row>
    <row r="147" spans="13:23" ht="14.25" hidden="1">
      <c r="M147" s="45"/>
      <c r="N147" s="45"/>
      <c r="O147" s="56"/>
      <c r="P147" s="56"/>
      <c r="Q147" s="56"/>
      <c r="R147" s="56"/>
      <c r="S147" s="56"/>
      <c r="T147" s="56"/>
      <c r="U147" s="56"/>
      <c r="V147" s="47"/>
      <c r="W147" s="45"/>
    </row>
    <row r="148" spans="13:23" ht="14.25" hidden="1">
      <c r="M148" s="45"/>
      <c r="N148" s="45"/>
      <c r="O148" s="56"/>
      <c r="P148" s="56"/>
      <c r="Q148" s="56"/>
      <c r="R148" s="56"/>
      <c r="S148" s="56"/>
      <c r="T148" s="56"/>
      <c r="U148" s="56"/>
      <c r="V148" s="47"/>
      <c r="W148" s="45"/>
    </row>
    <row r="149" spans="13:23" ht="27" customHeight="1" thickBot="1">
      <c r="M149" s="74"/>
      <c r="N149" s="74"/>
      <c r="O149" s="75"/>
      <c r="P149" s="75"/>
      <c r="Q149" s="75"/>
      <c r="R149" s="75"/>
      <c r="S149" s="75"/>
      <c r="T149" s="75"/>
      <c r="U149" s="75"/>
      <c r="V149" s="76"/>
      <c r="W149" s="74"/>
    </row>
    <row r="150" spans="13:23" ht="14.25">
      <c r="M150" s="45"/>
      <c r="N150" s="77" t="s">
        <v>105</v>
      </c>
      <c r="O150" s="56"/>
      <c r="P150" s="56"/>
      <c r="Q150" s="56"/>
      <c r="R150" s="56"/>
      <c r="S150" s="56"/>
      <c r="T150" s="56"/>
      <c r="U150" s="56"/>
      <c r="V150" s="47"/>
      <c r="W150" s="45"/>
    </row>
    <row r="151" spans="13:23" ht="14.25">
      <c r="M151" s="45"/>
      <c r="N151" s="45"/>
      <c r="O151" s="56"/>
      <c r="P151" s="56"/>
      <c r="Q151" s="56"/>
      <c r="R151" s="56"/>
      <c r="S151" s="56"/>
      <c r="T151" s="56"/>
      <c r="U151" s="56"/>
      <c r="V151" s="47"/>
      <c r="W151" s="45"/>
    </row>
    <row r="152" spans="15:21" ht="13.5">
      <c r="O152" s="3"/>
      <c r="P152" s="3"/>
      <c r="Q152" s="3"/>
      <c r="R152" s="3"/>
      <c r="S152" s="3"/>
      <c r="T152" s="3"/>
      <c r="U152" s="3"/>
    </row>
    <row r="153" spans="15:21" ht="13.5">
      <c r="O153" s="3"/>
      <c r="P153" s="3"/>
      <c r="Q153" s="3"/>
      <c r="R153" s="3"/>
      <c r="S153" s="3"/>
      <c r="T153" s="3"/>
      <c r="U153" s="3"/>
    </row>
    <row r="154" spans="15:21" ht="13.5">
      <c r="O154" s="3"/>
      <c r="P154" s="3"/>
      <c r="Q154" s="3"/>
      <c r="R154" s="3"/>
      <c r="S154" s="3"/>
      <c r="T154" s="3"/>
      <c r="U154" s="3"/>
    </row>
    <row r="155" spans="15:21" ht="13.5">
      <c r="O155" s="3"/>
      <c r="P155" s="3"/>
      <c r="Q155" s="3"/>
      <c r="R155" s="3"/>
      <c r="S155" s="3"/>
      <c r="T155" s="3"/>
      <c r="U155" s="3"/>
    </row>
  </sheetData>
  <sheetProtection/>
  <mergeCells count="44">
    <mergeCell ref="T119:U119"/>
    <mergeCell ref="T127:U127"/>
    <mergeCell ref="F35:G35"/>
    <mergeCell ref="F36:G36"/>
    <mergeCell ref="T123:U123"/>
    <mergeCell ref="T134:U134"/>
    <mergeCell ref="T128:U128"/>
    <mergeCell ref="T140:U140"/>
    <mergeCell ref="F37:G37"/>
    <mergeCell ref="F30:G30"/>
    <mergeCell ref="O110:U110"/>
    <mergeCell ref="F33:G33"/>
    <mergeCell ref="T136:U136"/>
    <mergeCell ref="T138:U138"/>
    <mergeCell ref="T125:U125"/>
    <mergeCell ref="F28:G28"/>
    <mergeCell ref="T139:U139"/>
    <mergeCell ref="T135:U135"/>
    <mergeCell ref="T143:U143"/>
    <mergeCell ref="T113:U113"/>
    <mergeCell ref="T114:U114"/>
    <mergeCell ref="T116:U116"/>
    <mergeCell ref="T133:U133"/>
    <mergeCell ref="T121:U121"/>
    <mergeCell ref="F24:G24"/>
    <mergeCell ref="F25:G25"/>
    <mergeCell ref="F18:G18"/>
    <mergeCell ref="F20:G20"/>
    <mergeCell ref="T142:U142"/>
    <mergeCell ref="F39:G39"/>
    <mergeCell ref="F40:G40"/>
    <mergeCell ref="P113:Q113"/>
    <mergeCell ref="O109:U109"/>
    <mergeCell ref="F22:G22"/>
    <mergeCell ref="P114:Q114"/>
    <mergeCell ref="T131:U131"/>
    <mergeCell ref="C5:D5"/>
    <mergeCell ref="F5:G5"/>
    <mergeCell ref="B6:I6"/>
    <mergeCell ref="C7:D7"/>
    <mergeCell ref="G7:H7"/>
    <mergeCell ref="B35:B36"/>
    <mergeCell ref="G13:H13"/>
    <mergeCell ref="F16:G16"/>
  </mergeCells>
  <hyperlinks>
    <hyperlink ref="E14" r:id="rId1" tooltip="왼쪽 메뉴에서 &quot;채권매도단가/할인율 조회&quot; 선택" display="    → 조회페이지바로가기"/>
  </hyperlinks>
  <printOptions horizontalCentered="1"/>
  <pageMargins left="0.96" right="0.9055118110236221" top="0.6692913385826772" bottom="0.15748031496062992" header="0.15748031496062992" footer="0.15748031496062992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34"/>
  </sheetPr>
  <dimension ref="A1:H22"/>
  <sheetViews>
    <sheetView zoomScalePageLayoutView="0" workbookViewId="0" topLeftCell="A1">
      <selection activeCell="G19" sqref="G19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9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</v>
      </c>
      <c r="B3" s="7">
        <f>ROUND('계산서(75%적용)'!$C$7*1%,-4)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11</v>
      </c>
      <c r="B5" s="8">
        <f>H7</f>
        <v>4610</v>
      </c>
      <c r="C5" s="6"/>
      <c r="D5" s="6"/>
    </row>
    <row r="6" spans="1:8" ht="12" customHeight="1">
      <c r="A6" s="6"/>
      <c r="B6" s="9" t="s">
        <v>12</v>
      </c>
      <c r="C6" s="9" t="s">
        <v>13</v>
      </c>
      <c r="D6" s="10" t="s">
        <v>14</v>
      </c>
      <c r="E6" s="10" t="s">
        <v>15</v>
      </c>
      <c r="F6" s="9" t="s">
        <v>16</v>
      </c>
      <c r="G6" s="9" t="s">
        <v>17</v>
      </c>
      <c r="H6" s="9" t="s">
        <v>18</v>
      </c>
    </row>
    <row r="7" spans="1:8" ht="12" customHeight="1">
      <c r="A7" s="6"/>
      <c r="B7" s="11">
        <f>B3</f>
        <v>3850000</v>
      </c>
      <c r="C7" s="78">
        <v>0.0175</v>
      </c>
      <c r="D7" s="36">
        <f>'계산서(75%적용)'!$D$9</f>
        <v>43409</v>
      </c>
      <c r="E7" s="12">
        <f>DATE(YEAR(D7),MONTH(D7)+1,0)</f>
        <v>43434</v>
      </c>
      <c r="F7" s="13">
        <f>E7-D7</f>
        <v>25</v>
      </c>
      <c r="G7" s="14">
        <f>B7*F7*C7/365</f>
        <v>4614.726027397261</v>
      </c>
      <c r="H7" s="15">
        <f>ROUNDDOWN(G7,-1)</f>
        <v>4610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19</v>
      </c>
      <c r="B9" s="22">
        <f>F10+F11</f>
        <v>700</v>
      </c>
      <c r="C9" s="6"/>
      <c r="D9" s="6"/>
    </row>
    <row r="10" spans="1:6" ht="12" customHeight="1">
      <c r="A10" s="6"/>
      <c r="B10" s="9" t="s">
        <v>20</v>
      </c>
      <c r="C10" s="23">
        <v>0.14</v>
      </c>
      <c r="D10" s="24">
        <f>H7*C10</f>
        <v>645.4000000000001</v>
      </c>
      <c r="E10" s="9" t="s">
        <v>18</v>
      </c>
      <c r="F10" s="25">
        <f>ROUNDDOWN(D10,-1)</f>
        <v>640</v>
      </c>
    </row>
    <row r="11" spans="1:6" ht="12" customHeight="1">
      <c r="A11" s="6"/>
      <c r="B11" s="9" t="s">
        <v>21</v>
      </c>
      <c r="C11" s="26">
        <v>0.014</v>
      </c>
      <c r="D11" s="24">
        <f>C11*H7</f>
        <v>64.54</v>
      </c>
      <c r="E11" s="9" t="s">
        <v>18</v>
      </c>
      <c r="F11" s="25">
        <f>ROUNDDOWN(D11,-1)</f>
        <v>60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22</v>
      </c>
      <c r="B13" s="27">
        <f>IF('계산서(75%적용)'!$C$7&lt;20000000,0,B15-C15+D15-E15+F15)</f>
        <v>391480</v>
      </c>
      <c r="C13" s="6"/>
      <c r="D13" s="6"/>
    </row>
    <row r="14" spans="1:8" ht="12" customHeight="1">
      <c r="A14" s="6"/>
      <c r="B14" s="9" t="s">
        <v>23</v>
      </c>
      <c r="C14" s="9" t="s">
        <v>24</v>
      </c>
      <c r="D14" s="9" t="s">
        <v>25</v>
      </c>
      <c r="E14" s="28" t="s">
        <v>26</v>
      </c>
      <c r="F14" s="28" t="s">
        <v>27</v>
      </c>
      <c r="H14" s="29" t="s">
        <v>28</v>
      </c>
    </row>
    <row r="15" spans="1:8" ht="12" customHeight="1">
      <c r="A15" s="6"/>
      <c r="B15" s="30">
        <f>B3</f>
        <v>3850000</v>
      </c>
      <c r="C15" s="30">
        <f>B5</f>
        <v>4610</v>
      </c>
      <c r="D15" s="30">
        <f>B9</f>
        <v>700</v>
      </c>
      <c r="E15" s="30">
        <f>B15*H15/10000</f>
        <v>3465000</v>
      </c>
      <c r="F15" s="30">
        <f>ROUNDDOWN(E15*0.3%,-1)</f>
        <v>10390</v>
      </c>
      <c r="H15" s="31">
        <f>'계산서(75%적용)'!$G$13</f>
        <v>9000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1:H22"/>
  <sheetViews>
    <sheetView zoomScalePageLayoutView="0" workbookViewId="0" topLeftCell="A1">
      <selection activeCell="J35" sqref="J35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9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</v>
      </c>
      <c r="B3" s="7">
        <f>ROUND('계산서(70%적용)'!$C$7*1%,-4)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11</v>
      </c>
      <c r="B5" s="8">
        <f>H7</f>
        <v>4610</v>
      </c>
      <c r="C5" s="6"/>
      <c r="D5" s="6"/>
    </row>
    <row r="6" spans="1:8" ht="12" customHeight="1">
      <c r="A6" s="6"/>
      <c r="B6" s="9" t="s">
        <v>12</v>
      </c>
      <c r="C6" s="9" t="s">
        <v>13</v>
      </c>
      <c r="D6" s="10" t="s">
        <v>14</v>
      </c>
      <c r="E6" s="10" t="s">
        <v>15</v>
      </c>
      <c r="F6" s="9" t="s">
        <v>16</v>
      </c>
      <c r="G6" s="9" t="s">
        <v>17</v>
      </c>
      <c r="H6" s="9" t="s">
        <v>18</v>
      </c>
    </row>
    <row r="7" spans="1:8" ht="12" customHeight="1">
      <c r="A7" s="6"/>
      <c r="B7" s="11">
        <f>B3</f>
        <v>3850000</v>
      </c>
      <c r="C7" s="78">
        <v>0.0175</v>
      </c>
      <c r="D7" s="36">
        <f>'계산서(70%적용)'!$D$9</f>
        <v>43409</v>
      </c>
      <c r="E7" s="12">
        <f>DATE(YEAR(D7),MONTH(D7)+1,0)</f>
        <v>43434</v>
      </c>
      <c r="F7" s="13">
        <f>E7-D7</f>
        <v>25</v>
      </c>
      <c r="G7" s="14">
        <f>B7*F7*C7/365</f>
        <v>4614.726027397261</v>
      </c>
      <c r="H7" s="15">
        <f>ROUNDDOWN(G7,-1)</f>
        <v>4610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19</v>
      </c>
      <c r="B9" s="22">
        <f>F10+F11</f>
        <v>700</v>
      </c>
      <c r="C9" s="6"/>
      <c r="D9" s="6"/>
    </row>
    <row r="10" spans="1:6" ht="12" customHeight="1">
      <c r="A10" s="6"/>
      <c r="B10" s="9" t="s">
        <v>20</v>
      </c>
      <c r="C10" s="23">
        <v>0.14</v>
      </c>
      <c r="D10" s="24">
        <f>H7*C10</f>
        <v>645.4000000000001</v>
      </c>
      <c r="E10" s="9" t="s">
        <v>18</v>
      </c>
      <c r="F10" s="25">
        <f>ROUNDDOWN(D10,-1)</f>
        <v>640</v>
      </c>
    </row>
    <row r="11" spans="1:6" ht="12" customHeight="1">
      <c r="A11" s="6"/>
      <c r="B11" s="9" t="s">
        <v>21</v>
      </c>
      <c r="C11" s="26">
        <v>0.014</v>
      </c>
      <c r="D11" s="24">
        <f>C11*H7</f>
        <v>64.54</v>
      </c>
      <c r="E11" s="9" t="s">
        <v>18</v>
      </c>
      <c r="F11" s="25">
        <f>ROUNDDOWN(D11,-1)</f>
        <v>60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22</v>
      </c>
      <c r="B13" s="27">
        <f>IF('계산서(70%적용)'!C7&lt;20000000,0,B15-C15+D15-E15+F15)</f>
        <v>391480</v>
      </c>
      <c r="C13" s="6"/>
      <c r="D13" s="6"/>
    </row>
    <row r="14" spans="1:8" ht="12" customHeight="1">
      <c r="A14" s="6"/>
      <c r="B14" s="9" t="s">
        <v>23</v>
      </c>
      <c r="C14" s="9" t="s">
        <v>24</v>
      </c>
      <c r="D14" s="9" t="s">
        <v>25</v>
      </c>
      <c r="E14" s="28" t="s">
        <v>26</v>
      </c>
      <c r="F14" s="28" t="s">
        <v>27</v>
      </c>
      <c r="H14" s="29" t="s">
        <v>28</v>
      </c>
    </row>
    <row r="15" spans="1:8" ht="12" customHeight="1">
      <c r="A15" s="6"/>
      <c r="B15" s="30">
        <f>B3</f>
        <v>3850000</v>
      </c>
      <c r="C15" s="30">
        <f>B5</f>
        <v>4610</v>
      </c>
      <c r="D15" s="30">
        <f>B9</f>
        <v>700</v>
      </c>
      <c r="E15" s="30">
        <f>B15*H15/10000</f>
        <v>3465000</v>
      </c>
      <c r="F15" s="30">
        <f>ROUNDDOWN(E15*0.3%,-1)</f>
        <v>10390</v>
      </c>
      <c r="H15" s="31">
        <f>'계산서(70%적용)'!$G$13</f>
        <v>9000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34"/>
  </sheetPr>
  <dimension ref="A1:H22"/>
  <sheetViews>
    <sheetView zoomScalePageLayoutView="0" workbookViewId="0" topLeftCell="A1">
      <selection activeCell="E7" sqref="E7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108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109</v>
      </c>
      <c r="B3" s="7">
        <f>ROUND('계산서(본점제휴법무법인)'!$C$7*1%,-4)</f>
        <v>3850000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110</v>
      </c>
      <c r="B5" s="8">
        <f>H7</f>
        <v>4610</v>
      </c>
      <c r="C5" s="6"/>
      <c r="D5" s="6"/>
    </row>
    <row r="6" spans="1:8" ht="12" customHeight="1">
      <c r="A6" s="6"/>
      <c r="B6" s="9" t="s">
        <v>111</v>
      </c>
      <c r="C6" s="9" t="s">
        <v>112</v>
      </c>
      <c r="D6" s="10" t="s">
        <v>113</v>
      </c>
      <c r="E6" s="10" t="s">
        <v>114</v>
      </c>
      <c r="F6" s="9" t="s">
        <v>115</v>
      </c>
      <c r="G6" s="9" t="s">
        <v>116</v>
      </c>
      <c r="H6" s="9" t="s">
        <v>117</v>
      </c>
    </row>
    <row r="7" spans="1:8" ht="12" customHeight="1">
      <c r="A7" s="6"/>
      <c r="B7" s="11">
        <f>B3</f>
        <v>3850000</v>
      </c>
      <c r="C7" s="78">
        <v>0.0175</v>
      </c>
      <c r="D7" s="36">
        <f>'계산서(본점제휴법무법인)'!$D$9</f>
        <v>43409</v>
      </c>
      <c r="E7" s="12">
        <f>DATE(YEAR(D7),MONTH(D7)+1,0)</f>
        <v>43434</v>
      </c>
      <c r="F7" s="13">
        <f>E7-D7</f>
        <v>25</v>
      </c>
      <c r="G7" s="14">
        <f>B7*F7*C7/365</f>
        <v>4614.726027397261</v>
      </c>
      <c r="H7" s="15">
        <f>ROUNDDOWN(G7,-1)</f>
        <v>4610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118</v>
      </c>
      <c r="B9" s="22">
        <f>F10+F11</f>
        <v>700</v>
      </c>
      <c r="C9" s="6"/>
      <c r="D9" s="6"/>
    </row>
    <row r="10" spans="1:6" ht="12" customHeight="1">
      <c r="A10" s="6"/>
      <c r="B10" s="9" t="s">
        <v>119</v>
      </c>
      <c r="C10" s="23">
        <v>0.14</v>
      </c>
      <c r="D10" s="24">
        <f>H7*C10</f>
        <v>645.4000000000001</v>
      </c>
      <c r="E10" s="9" t="s">
        <v>117</v>
      </c>
      <c r="F10" s="25">
        <f>ROUNDDOWN(D10,-1)</f>
        <v>640</v>
      </c>
    </row>
    <row r="11" spans="1:6" ht="12" customHeight="1">
      <c r="A11" s="6"/>
      <c r="B11" s="9" t="s">
        <v>120</v>
      </c>
      <c r="C11" s="26">
        <v>0.014</v>
      </c>
      <c r="D11" s="24">
        <f>C11*H7</f>
        <v>64.54</v>
      </c>
      <c r="E11" s="9" t="s">
        <v>117</v>
      </c>
      <c r="F11" s="25">
        <f>ROUNDDOWN(D11,-1)</f>
        <v>60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121</v>
      </c>
      <c r="B13" s="27">
        <f>IF('계산서(본점제휴법무법인)'!C7&lt;20000000,0,B15-C15+D15-E15+F15)</f>
        <v>412980</v>
      </c>
      <c r="C13" s="6"/>
      <c r="D13" s="6"/>
    </row>
    <row r="14" spans="1:8" ht="12" customHeight="1">
      <c r="A14" s="6"/>
      <c r="B14" s="9" t="s">
        <v>122</v>
      </c>
      <c r="C14" s="9" t="s">
        <v>123</v>
      </c>
      <c r="D14" s="9" t="s">
        <v>124</v>
      </c>
      <c r="E14" s="28" t="s">
        <v>125</v>
      </c>
      <c r="F14" s="28" t="s">
        <v>126</v>
      </c>
      <c r="H14" s="29" t="s">
        <v>127</v>
      </c>
    </row>
    <row r="15" spans="1:8" ht="12" customHeight="1">
      <c r="A15" s="6"/>
      <c r="B15" s="30">
        <f>B3</f>
        <v>3850000</v>
      </c>
      <c r="C15" s="30">
        <f>B5</f>
        <v>4610</v>
      </c>
      <c r="D15" s="30">
        <f>B9</f>
        <v>700</v>
      </c>
      <c r="E15" s="30">
        <f>B15*H15/10000</f>
        <v>3443440</v>
      </c>
      <c r="F15" s="30">
        <f>ROUNDDOWN(E15*0.3%,-1)</f>
        <v>10330</v>
      </c>
      <c r="H15" s="31">
        <f>'계산서(본점제휴법무법인)'!$G$13</f>
        <v>8944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34"/>
  </sheetPr>
  <dimension ref="A1:H22"/>
  <sheetViews>
    <sheetView zoomScalePageLayoutView="0" workbookViewId="0" topLeftCell="A1">
      <selection activeCell="C7" sqref="C7"/>
    </sheetView>
  </sheetViews>
  <sheetFormatPr defaultColWidth="8.88671875" defaultRowHeight="13.5"/>
  <cols>
    <col min="1" max="1" width="9.6640625" style="0" customWidth="1"/>
    <col min="2" max="2" width="10.77734375" style="0" customWidth="1"/>
    <col min="3" max="3" width="13.5546875" style="0" customWidth="1"/>
    <col min="4" max="4" width="10.77734375" style="0" customWidth="1"/>
    <col min="5" max="5" width="12.3359375" style="0" customWidth="1"/>
    <col min="6" max="6" width="13.4453125" style="0" customWidth="1"/>
    <col min="7" max="8" width="10.77734375" style="0" customWidth="1"/>
  </cols>
  <sheetData>
    <row r="1" spans="1:4" ht="14.25">
      <c r="A1" s="5" t="s">
        <v>108</v>
      </c>
      <c r="B1" s="6"/>
      <c r="C1" s="6"/>
      <c r="D1" s="6"/>
    </row>
    <row r="2" spans="1:4" ht="12" customHeight="1">
      <c r="A2" s="6"/>
      <c r="B2" s="6"/>
      <c r="C2" s="6"/>
      <c r="D2" s="6"/>
    </row>
    <row r="3" spans="1:5" ht="12" customHeight="1">
      <c r="A3" s="6" t="s">
        <v>109</v>
      </c>
      <c r="B3" s="7">
        <f>ROUND('계산서(원클릭모기지(전자등기))'!$C$7*1%,-4)</f>
        <v>1680000</v>
      </c>
      <c r="C3" s="6"/>
      <c r="D3" s="6"/>
      <c r="E3" s="35"/>
    </row>
    <row r="4" spans="1:4" ht="12" customHeight="1">
      <c r="A4" s="6"/>
      <c r="B4" s="6"/>
      <c r="C4" s="6"/>
      <c r="D4" s="6"/>
    </row>
    <row r="5" spans="1:4" ht="12" customHeight="1">
      <c r="A5" s="6" t="s">
        <v>110</v>
      </c>
      <c r="B5" s="8">
        <f>H7</f>
        <v>1120</v>
      </c>
      <c r="C5" s="6"/>
      <c r="D5" s="6"/>
    </row>
    <row r="6" spans="1:8" ht="12" customHeight="1">
      <c r="A6" s="6"/>
      <c r="B6" s="9" t="s">
        <v>111</v>
      </c>
      <c r="C6" s="9" t="s">
        <v>112</v>
      </c>
      <c r="D6" s="10" t="s">
        <v>113</v>
      </c>
      <c r="E6" s="10" t="s">
        <v>114</v>
      </c>
      <c r="F6" s="9" t="s">
        <v>115</v>
      </c>
      <c r="G6" s="9" t="s">
        <v>116</v>
      </c>
      <c r="H6" s="9" t="s">
        <v>117</v>
      </c>
    </row>
    <row r="7" spans="1:8" ht="12" customHeight="1">
      <c r="A7" s="6"/>
      <c r="B7" s="11">
        <f>B3</f>
        <v>1680000</v>
      </c>
      <c r="C7" s="78">
        <v>0.0175</v>
      </c>
      <c r="D7" s="36">
        <f>'계산서(원클릭모기지(전자등기))'!D9</f>
        <v>42415</v>
      </c>
      <c r="E7" s="12">
        <f>DATE(YEAR(D7),MONTH(D7)+1,0)</f>
        <v>42429</v>
      </c>
      <c r="F7" s="13">
        <f>E7-D7</f>
        <v>14</v>
      </c>
      <c r="G7" s="14">
        <f>B7*F7*C7/365</f>
        <v>1127.6712328767126</v>
      </c>
      <c r="H7" s="15">
        <f>ROUNDDOWN(G7,-1)</f>
        <v>1120</v>
      </c>
    </row>
    <row r="8" spans="1:8" ht="12" customHeight="1">
      <c r="A8" s="6"/>
      <c r="B8" s="16"/>
      <c r="C8" s="17"/>
      <c r="D8" s="18"/>
      <c r="E8" s="18"/>
      <c r="F8" s="19"/>
      <c r="G8" s="20"/>
      <c r="H8" s="21"/>
    </row>
    <row r="9" spans="1:4" ht="12" customHeight="1">
      <c r="A9" s="6" t="s">
        <v>118</v>
      </c>
      <c r="B9" s="22">
        <f>F10+F11</f>
        <v>160</v>
      </c>
      <c r="C9" s="6"/>
      <c r="D9" s="6"/>
    </row>
    <row r="10" spans="1:6" ht="12" customHeight="1">
      <c r="A10" s="6"/>
      <c r="B10" s="9" t="s">
        <v>119</v>
      </c>
      <c r="C10" s="23">
        <v>0.14</v>
      </c>
      <c r="D10" s="24">
        <f>H7*C10</f>
        <v>156.8</v>
      </c>
      <c r="E10" s="9" t="s">
        <v>117</v>
      </c>
      <c r="F10" s="25">
        <f>ROUNDDOWN(D10,-1)</f>
        <v>150</v>
      </c>
    </row>
    <row r="11" spans="1:6" ht="12" customHeight="1">
      <c r="A11" s="6"/>
      <c r="B11" s="9" t="s">
        <v>120</v>
      </c>
      <c r="C11" s="26">
        <v>0.014</v>
      </c>
      <c r="D11" s="24">
        <f>C11*H7</f>
        <v>15.68</v>
      </c>
      <c r="E11" s="9" t="s">
        <v>117</v>
      </c>
      <c r="F11" s="25">
        <f>ROUNDDOWN(D11,-1)</f>
        <v>10</v>
      </c>
    </row>
    <row r="12" spans="1:4" ht="12" customHeight="1">
      <c r="A12" s="6"/>
      <c r="B12" s="6"/>
      <c r="C12" s="6"/>
      <c r="D12" s="6"/>
    </row>
    <row r="13" spans="1:4" ht="12" customHeight="1">
      <c r="A13" s="6" t="s">
        <v>121</v>
      </c>
      <c r="B13" s="27">
        <f>IF('계산서(원클릭모기지(전자등기))'!C7&lt;20000000,0,B15-C15+D15-E15+F15)</f>
        <v>26858</v>
      </c>
      <c r="C13" s="6"/>
      <c r="D13" s="6"/>
    </row>
    <row r="14" spans="1:8" ht="12" customHeight="1">
      <c r="A14" s="6"/>
      <c r="B14" s="9" t="s">
        <v>122</v>
      </c>
      <c r="C14" s="9" t="s">
        <v>123</v>
      </c>
      <c r="D14" s="9" t="s">
        <v>124</v>
      </c>
      <c r="E14" s="28" t="s">
        <v>125</v>
      </c>
      <c r="F14" s="28" t="s">
        <v>126</v>
      </c>
      <c r="H14" s="29" t="s">
        <v>127</v>
      </c>
    </row>
    <row r="15" spans="1:8" ht="12" customHeight="1">
      <c r="A15" s="6"/>
      <c r="B15" s="30">
        <f>B3</f>
        <v>1680000</v>
      </c>
      <c r="C15" s="30">
        <f>B5</f>
        <v>1120</v>
      </c>
      <c r="D15" s="30">
        <f>B9</f>
        <v>160</v>
      </c>
      <c r="E15" s="30">
        <f>B15*H15/10000</f>
        <v>1657152</v>
      </c>
      <c r="F15" s="30">
        <f>ROUNDDOWN(E15*0.3%,-1)</f>
        <v>4970</v>
      </c>
      <c r="H15" s="31">
        <f>'계산서(원클릭모기지(전자등기))'!G13</f>
        <v>9864</v>
      </c>
    </row>
    <row r="16" spans="1:8" ht="12" customHeight="1">
      <c r="A16" s="6"/>
      <c r="B16" s="32"/>
      <c r="C16" s="32"/>
      <c r="D16" s="32"/>
      <c r="F16" s="33"/>
      <c r="H16" s="34"/>
    </row>
    <row r="17" spans="1:8" ht="12" customHeight="1">
      <c r="A17" s="6"/>
      <c r="B17" s="32"/>
      <c r="C17" s="32"/>
      <c r="D17" s="32"/>
      <c r="F17" s="33"/>
      <c r="H17" s="34"/>
    </row>
    <row r="18" spans="1:8" ht="12" customHeight="1">
      <c r="A18" s="6"/>
      <c r="B18" s="32"/>
      <c r="C18" s="32"/>
      <c r="D18" s="32"/>
      <c r="F18" s="33"/>
      <c r="H18" s="34"/>
    </row>
    <row r="22" spans="1:8" ht="12" customHeight="1">
      <c r="A22" s="6"/>
      <c r="B22" s="32"/>
      <c r="C22" s="32"/>
      <c r="D22" s="32"/>
      <c r="F22" s="33"/>
      <c r="H2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하나은행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경원</dc:creator>
  <cp:keywords/>
  <dc:description/>
  <cp:lastModifiedBy>정아라_1820955</cp:lastModifiedBy>
  <cp:lastPrinted>2018-11-15T07:12:44Z</cp:lastPrinted>
  <dcterms:created xsi:type="dcterms:W3CDTF">2001-02-05T10:22:35Z</dcterms:created>
  <dcterms:modified xsi:type="dcterms:W3CDTF">2018-11-15T07:16:53Z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